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" windowWidth="11340" windowHeight="6540" tabRatio="911" activeTab="11"/>
  </bookViews>
  <sheets>
    <sheet name="Arpa K" sheetId="2" r:id="rId1"/>
    <sheet name="Arpa S" sheetId="4" r:id="rId2"/>
    <sheet name="Buğday K" sheetId="3" r:id="rId3"/>
    <sheet name="Buğday S" sheetId="5" r:id="rId4"/>
    <sheet name="Pancar" sheetId="10" r:id="rId5"/>
    <sheet name="Ayçiçeği S" sheetId="8" r:id="rId6"/>
    <sheet name="Nohut K" sheetId="25" r:id="rId7"/>
    <sheet name="Domates" sheetId="18" r:id="rId8"/>
    <sheet name="K.Soğan S" sheetId="21" r:id="rId9"/>
    <sheet name="Haşhaş S" sheetId="9" r:id="rId10"/>
    <sheet name="Haşhaş K" sheetId="19" r:id="rId11"/>
    <sheet name="Maliyet" sheetId="26" r:id="rId12"/>
    <sheet name="Sayfa1" sheetId="27" r:id="rId13"/>
    <sheet name="Sayfa2" sheetId="28" r:id="rId14"/>
    <sheet name="Sayfa3" sheetId="29" r:id="rId15"/>
  </sheets>
  <definedNames>
    <definedName name="_xlnm.Print_Area" localSheetId="0">'Arpa K'!$B$1:$K$47</definedName>
    <definedName name="_xlnm.Print_Area" localSheetId="1">'Arpa S'!$B$1:$K$50</definedName>
    <definedName name="_xlnm.Print_Area" localSheetId="5">'Ayçiçeği S'!$B$1:$K$52</definedName>
    <definedName name="_xlnm.Print_Area" localSheetId="2">'Buğday K'!$B$1:$K$49</definedName>
    <definedName name="_xlnm.Print_Area" localSheetId="3">'Buğday S'!$B$1:$K$52</definedName>
    <definedName name="_xlnm.Print_Area" localSheetId="7">Domates!$B$1:$K$50</definedName>
    <definedName name="_xlnm.Print_Area" localSheetId="10">'Haşhaş K'!$B$1:$K$49</definedName>
    <definedName name="_xlnm.Print_Area" localSheetId="9">'Haşhaş S'!$B$1:$K$51</definedName>
    <definedName name="_xlnm.Print_Area" localSheetId="8">'K.Soğan S'!$B$1:$K$53</definedName>
    <definedName name="_xlnm.Print_Area" localSheetId="11">Maliyet!$B$2:$N$23</definedName>
    <definedName name="_xlnm.Print_Area" localSheetId="6">'Nohut K'!$B$1:$K$47</definedName>
    <definedName name="_xlnm.Print_Area" localSheetId="4">Pancar!$B$1:$K$53</definedName>
    <definedName name="Z_8B6B86C0_2F1B_11D5_9D92_00606708EF55_.wvu.PrintArea" localSheetId="0" hidden="1">'Arpa K'!$B$1:$K$43</definedName>
    <definedName name="Z_8B6B86C0_2F1B_11D5_9D92_00606708EF55_.wvu.PrintArea" localSheetId="1" hidden="1">'Arpa S'!$B$1:$K$47</definedName>
    <definedName name="Z_8B6B86C0_2F1B_11D5_9D92_00606708EF55_.wvu.PrintArea" localSheetId="5" hidden="1">'Ayçiçeği S'!$B$1:$K$45</definedName>
    <definedName name="Z_8B6B86C0_2F1B_11D5_9D92_00606708EF55_.wvu.PrintArea" localSheetId="2" hidden="1">'Buğday K'!$B$1:$K$45</definedName>
    <definedName name="Z_8B6B86C0_2F1B_11D5_9D92_00606708EF55_.wvu.PrintArea" localSheetId="3" hidden="1">'Buğday S'!$B$1:$K$49</definedName>
    <definedName name="Z_8B6B86C0_2F1B_11D5_9D92_00606708EF55_.wvu.PrintArea" localSheetId="9" hidden="1">'Haşhaş S'!$B$1:$K$41</definedName>
    <definedName name="Z_8B6B86C0_2F1B_11D5_9D92_00606708EF55_.wvu.PrintArea" localSheetId="11" hidden="1">Maliyet!$B$2:$L$13</definedName>
    <definedName name="Z_8B6B86C0_2F1B_11D5_9D92_00606708EF55_.wvu.PrintArea" localSheetId="6" hidden="1">'Nohut K'!$B$1:$K$37</definedName>
    <definedName name="Z_8B6B86C0_2F1B_11D5_9D92_00606708EF55_.wvu.PrintArea" localSheetId="4" hidden="1">Pancar!$B$1:$K$50</definedName>
  </definedNames>
  <calcPr calcId="125725"/>
  <customWorkbookViews>
    <customWorkbookView name="Erhan Türkseven - Kişisel Görünüm" guid="{8B6B86C0-2F1B-11D5-9D92-00606708EF55}" mergeInterval="0" personalView="1" maximized="1" windowWidth="794" windowHeight="438" tabRatio="1000" activeSheetId="14"/>
  </customWorkbookViews>
</workbook>
</file>

<file path=xl/calcChain.xml><?xml version="1.0" encoding="utf-8"?>
<calcChain xmlns="http://schemas.openxmlformats.org/spreadsheetml/2006/main">
  <c r="K15" i="26"/>
  <c r="K14"/>
  <c r="K13"/>
  <c r="K12"/>
  <c r="K11"/>
  <c r="K10"/>
  <c r="K9"/>
  <c r="K8"/>
  <c r="K7"/>
  <c r="P11" i="9"/>
  <c r="I7" s="1"/>
  <c r="J7" s="1"/>
  <c r="J12" s="1"/>
  <c r="I8"/>
  <c r="J8"/>
  <c r="I9"/>
  <c r="J9"/>
  <c r="I10"/>
  <c r="J10"/>
  <c r="Q11"/>
  <c r="I14" s="1"/>
  <c r="J14" s="1"/>
  <c r="Q29" i="3"/>
  <c r="Q28" i="9" s="1"/>
  <c r="P11" i="19"/>
  <c r="I7" s="1"/>
  <c r="J7" s="1"/>
  <c r="I14"/>
  <c r="J14" s="1"/>
  <c r="Q28" i="5"/>
  <c r="Q28" i="25" s="1"/>
  <c r="P12" i="3"/>
  <c r="P12" i="5"/>
  <c r="P12" i="10" s="1"/>
  <c r="P11" i="3"/>
  <c r="P11" i="5" s="1"/>
  <c r="J11"/>
  <c r="I15"/>
  <c r="J15"/>
  <c r="I17"/>
  <c r="J17"/>
  <c r="P13" i="3"/>
  <c r="P13" i="5"/>
  <c r="I21" s="1"/>
  <c r="J21" s="1"/>
  <c r="I22"/>
  <c r="J22"/>
  <c r="P14" i="3"/>
  <c r="P14" i="5"/>
  <c r="I23" s="1"/>
  <c r="J23" s="1"/>
  <c r="P19" i="3"/>
  <c r="P19" i="5" s="1"/>
  <c r="I26" s="1"/>
  <c r="P20" i="3"/>
  <c r="P20" i="5"/>
  <c r="G26" s="1"/>
  <c r="I27"/>
  <c r="Q30" i="3"/>
  <c r="Q29" i="5"/>
  <c r="I28" s="1"/>
  <c r="J28" s="1"/>
  <c r="P21"/>
  <c r="I29"/>
  <c r="J29" s="1"/>
  <c r="P16" i="3"/>
  <c r="P16" i="5" s="1"/>
  <c r="P17" i="3"/>
  <c r="P17" i="5"/>
  <c r="I31" s="1"/>
  <c r="J31" s="1"/>
  <c r="P18" i="3"/>
  <c r="P18" i="5"/>
  <c r="J32" s="1"/>
  <c r="I7" i="3"/>
  <c r="J7" s="1"/>
  <c r="I8"/>
  <c r="J8" s="1"/>
  <c r="I9"/>
  <c r="J9" s="1"/>
  <c r="I10"/>
  <c r="J10" s="1"/>
  <c r="J11"/>
  <c r="I15"/>
  <c r="J15"/>
  <c r="I17"/>
  <c r="J17"/>
  <c r="I20"/>
  <c r="J20" s="1"/>
  <c r="I21"/>
  <c r="J21" s="1"/>
  <c r="I22"/>
  <c r="J22" s="1"/>
  <c r="I25"/>
  <c r="G25"/>
  <c r="J25" s="1"/>
  <c r="I26"/>
  <c r="J26" s="1"/>
  <c r="I27"/>
  <c r="J27" s="1"/>
  <c r="J29"/>
  <c r="I30"/>
  <c r="J30"/>
  <c r="P15"/>
  <c r="J35" s="1"/>
  <c r="P11" i="4"/>
  <c r="I7"/>
  <c r="P12"/>
  <c r="J7"/>
  <c r="I8"/>
  <c r="J8"/>
  <c r="I9"/>
  <c r="J9"/>
  <c r="I10"/>
  <c r="J10"/>
  <c r="J11"/>
  <c r="J12"/>
  <c r="Q11"/>
  <c r="I14"/>
  <c r="J14" s="1"/>
  <c r="I15"/>
  <c r="J15" s="1"/>
  <c r="I16"/>
  <c r="J16" s="1"/>
  <c r="I17"/>
  <c r="J17" s="1"/>
  <c r="I18"/>
  <c r="J18" s="1"/>
  <c r="P13"/>
  <c r="I21"/>
  <c r="J21" s="1"/>
  <c r="I22"/>
  <c r="J22" s="1"/>
  <c r="P14"/>
  <c r="I23" s="1"/>
  <c r="J23" s="1"/>
  <c r="P19"/>
  <c r="I26" s="1"/>
  <c r="P20"/>
  <c r="G26" s="1"/>
  <c r="Q28"/>
  <c r="I27"/>
  <c r="J27" s="1"/>
  <c r="Q29"/>
  <c r="I28" s="1"/>
  <c r="J28" s="1"/>
  <c r="P16"/>
  <c r="J29"/>
  <c r="P17"/>
  <c r="I30"/>
  <c r="J30" s="1"/>
  <c r="P18"/>
  <c r="J31" s="1"/>
  <c r="I16" i="19"/>
  <c r="I15"/>
  <c r="I21"/>
  <c r="I20"/>
  <c r="I25"/>
  <c r="I22" i="9"/>
  <c r="I21"/>
  <c r="J21" s="1"/>
  <c r="I28"/>
  <c r="I8" i="10"/>
  <c r="J8" s="1"/>
  <c r="J33" i="25"/>
  <c r="I27"/>
  <c r="J27" s="1"/>
  <c r="I26"/>
  <c r="J26" s="1"/>
  <c r="I24"/>
  <c r="G24"/>
  <c r="F22"/>
  <c r="E22"/>
  <c r="I21"/>
  <c r="J21" s="1"/>
  <c r="J22" s="1"/>
  <c r="J20"/>
  <c r="I19"/>
  <c r="J19"/>
  <c r="I28"/>
  <c r="J28"/>
  <c r="F17"/>
  <c r="E17"/>
  <c r="I16"/>
  <c r="J16"/>
  <c r="I15"/>
  <c r="J15"/>
  <c r="I14"/>
  <c r="J14"/>
  <c r="I13"/>
  <c r="J13"/>
  <c r="F11"/>
  <c r="E11"/>
  <c r="J10"/>
  <c r="I10"/>
  <c r="I9"/>
  <c r="J9"/>
  <c r="I8"/>
  <c r="J8"/>
  <c r="I7"/>
  <c r="J7"/>
  <c r="I17" i="2"/>
  <c r="J17"/>
  <c r="I15"/>
  <c r="G28" i="8"/>
  <c r="J15" i="2"/>
  <c r="I18" i="5"/>
  <c r="J18" s="1"/>
  <c r="I16"/>
  <c r="I14"/>
  <c r="J14" s="1"/>
  <c r="J19" s="1"/>
  <c r="I16" i="3"/>
  <c r="I14"/>
  <c r="J14" s="1"/>
  <c r="J18" s="1"/>
  <c r="I21" i="2"/>
  <c r="I16"/>
  <c r="I14"/>
  <c r="J14"/>
  <c r="I7" i="21"/>
  <c r="J7"/>
  <c r="I10"/>
  <c r="J10"/>
  <c r="I11"/>
  <c r="J11"/>
  <c r="I8"/>
  <c r="J8"/>
  <c r="I9"/>
  <c r="J9"/>
  <c r="J12"/>
  <c r="I15"/>
  <c r="J15" s="1"/>
  <c r="I17"/>
  <c r="J17" s="1"/>
  <c r="I19"/>
  <c r="J19" s="1"/>
  <c r="I16"/>
  <c r="J16"/>
  <c r="I18"/>
  <c r="J18"/>
  <c r="I20"/>
  <c r="J20"/>
  <c r="I23"/>
  <c r="J23"/>
  <c r="I24"/>
  <c r="J24"/>
  <c r="I25"/>
  <c r="J25"/>
  <c r="I29"/>
  <c r="G29"/>
  <c r="J29" s="1"/>
  <c r="I30"/>
  <c r="G30"/>
  <c r="I31"/>
  <c r="G31"/>
  <c r="J32"/>
  <c r="I33"/>
  <c r="J33" s="1"/>
  <c r="J34"/>
  <c r="J39"/>
  <c r="J11" i="9"/>
  <c r="I15"/>
  <c r="J15"/>
  <c r="I16"/>
  <c r="J16"/>
  <c r="I17"/>
  <c r="J17"/>
  <c r="J22"/>
  <c r="I23"/>
  <c r="J23" s="1"/>
  <c r="I26"/>
  <c r="G26"/>
  <c r="G27"/>
  <c r="G28"/>
  <c r="I29"/>
  <c r="J29" s="1"/>
  <c r="I30"/>
  <c r="J30" s="1"/>
  <c r="J31"/>
  <c r="J11" i="19"/>
  <c r="J15"/>
  <c r="J16"/>
  <c r="I17"/>
  <c r="J17" s="1"/>
  <c r="J20"/>
  <c r="J21"/>
  <c r="I22"/>
  <c r="J22" s="1"/>
  <c r="J23" s="1"/>
  <c r="G25"/>
  <c r="I26"/>
  <c r="G26"/>
  <c r="I27"/>
  <c r="G27"/>
  <c r="J27" s="1"/>
  <c r="I28"/>
  <c r="J28" s="1"/>
  <c r="I29"/>
  <c r="J29" s="1"/>
  <c r="J34"/>
  <c r="I7" i="18"/>
  <c r="J7"/>
  <c r="I8"/>
  <c r="J8"/>
  <c r="I9"/>
  <c r="J9"/>
  <c r="I10"/>
  <c r="J10"/>
  <c r="I11"/>
  <c r="J11"/>
  <c r="I17"/>
  <c r="J17"/>
  <c r="I18"/>
  <c r="J18"/>
  <c r="I14"/>
  <c r="J14"/>
  <c r="I15"/>
  <c r="J15"/>
  <c r="I16"/>
  <c r="J16"/>
  <c r="I21"/>
  <c r="J21"/>
  <c r="I22"/>
  <c r="J22"/>
  <c r="I23"/>
  <c r="J23"/>
  <c r="I26"/>
  <c r="G26"/>
  <c r="J26" s="1"/>
  <c r="J32" s="1"/>
  <c r="J33" s="1"/>
  <c r="I27"/>
  <c r="G27"/>
  <c r="I28"/>
  <c r="G28"/>
  <c r="J29"/>
  <c r="I30"/>
  <c r="J30"/>
  <c r="J31"/>
  <c r="J36"/>
  <c r="I7" i="8"/>
  <c r="J7"/>
  <c r="I8"/>
  <c r="J8"/>
  <c r="I9"/>
  <c r="J9"/>
  <c r="I10"/>
  <c r="J10"/>
  <c r="J11"/>
  <c r="I14"/>
  <c r="J14" s="1"/>
  <c r="I16"/>
  <c r="J16" s="1"/>
  <c r="I19"/>
  <c r="J19" s="1"/>
  <c r="I15"/>
  <c r="J15" s="1"/>
  <c r="I17"/>
  <c r="J17" s="1"/>
  <c r="I18"/>
  <c r="J18" s="1"/>
  <c r="I22"/>
  <c r="J22" s="1"/>
  <c r="I23"/>
  <c r="J23" s="1"/>
  <c r="I24"/>
  <c r="J24" s="1"/>
  <c r="I28"/>
  <c r="J28" s="1"/>
  <c r="I29"/>
  <c r="G29"/>
  <c r="I30"/>
  <c r="G30"/>
  <c r="J30"/>
  <c r="J31"/>
  <c r="I32"/>
  <c r="J32" s="1"/>
  <c r="J33"/>
  <c r="J38"/>
  <c r="I7" i="10"/>
  <c r="J7" s="1"/>
  <c r="I9"/>
  <c r="J9" s="1"/>
  <c r="I16"/>
  <c r="J16" s="1"/>
  <c r="I19"/>
  <c r="J19" s="1"/>
  <c r="I22"/>
  <c r="J22" s="1"/>
  <c r="I24"/>
  <c r="J24" s="1"/>
  <c r="I27"/>
  <c r="G27"/>
  <c r="I28"/>
  <c r="G28"/>
  <c r="I29"/>
  <c r="G29"/>
  <c r="J29"/>
  <c r="P31"/>
  <c r="J30"/>
  <c r="J31"/>
  <c r="I32"/>
  <c r="J32" s="1"/>
  <c r="J33"/>
  <c r="J38"/>
  <c r="G27" i="4"/>
  <c r="G28"/>
  <c r="J36"/>
  <c r="I7" i="2"/>
  <c r="J7"/>
  <c r="I8"/>
  <c r="J8"/>
  <c r="I9"/>
  <c r="J9"/>
  <c r="I10"/>
  <c r="J10"/>
  <c r="J11"/>
  <c r="J16"/>
  <c r="I20"/>
  <c r="J20"/>
  <c r="J21"/>
  <c r="I22"/>
  <c r="J22" s="1"/>
  <c r="J23" s="1"/>
  <c r="I25"/>
  <c r="G25"/>
  <c r="J25"/>
  <c r="I26"/>
  <c r="G26"/>
  <c r="I27"/>
  <c r="G27"/>
  <c r="I28"/>
  <c r="J28"/>
  <c r="I29"/>
  <c r="J29"/>
  <c r="J34"/>
  <c r="J16" i="3"/>
  <c r="G26"/>
  <c r="G27"/>
  <c r="I28"/>
  <c r="J28"/>
  <c r="J16" i="5"/>
  <c r="G27"/>
  <c r="J27" s="1"/>
  <c r="G28"/>
  <c r="J37"/>
  <c r="I11"/>
  <c r="I11" i="3"/>
  <c r="I30" i="10"/>
  <c r="G30"/>
  <c r="I26" i="21"/>
  <c r="G26"/>
  <c r="I34"/>
  <c r="P32"/>
  <c r="I32"/>
  <c r="P31"/>
  <c r="F27"/>
  <c r="E27"/>
  <c r="F21"/>
  <c r="E21"/>
  <c r="F13"/>
  <c r="E13"/>
  <c r="I12"/>
  <c r="I11" i="9"/>
  <c r="I11" i="19"/>
  <c r="I11" i="8"/>
  <c r="I11" i="4"/>
  <c r="I11" i="2"/>
  <c r="E26" i="8"/>
  <c r="E20" i="10"/>
  <c r="I31" i="9"/>
  <c r="F24"/>
  <c r="E24"/>
  <c r="F19"/>
  <c r="E19"/>
  <c r="F12"/>
  <c r="E12"/>
  <c r="P29" i="19"/>
  <c r="P28"/>
  <c r="F23"/>
  <c r="E23"/>
  <c r="F18"/>
  <c r="E18"/>
  <c r="F12"/>
  <c r="E12"/>
  <c r="I33" i="8"/>
  <c r="P31"/>
  <c r="I31"/>
  <c r="P30"/>
  <c r="F26"/>
  <c r="F20"/>
  <c r="E20"/>
  <c r="F12"/>
  <c r="E12"/>
  <c r="I31" i="18"/>
  <c r="P29"/>
  <c r="I29"/>
  <c r="P28"/>
  <c r="F24"/>
  <c r="E24"/>
  <c r="F19"/>
  <c r="E19"/>
  <c r="F12"/>
  <c r="E12"/>
  <c r="I33" i="10"/>
  <c r="P30"/>
  <c r="I31"/>
  <c r="P29"/>
  <c r="F25"/>
  <c r="E25"/>
  <c r="F20"/>
  <c r="F12"/>
  <c r="E12"/>
  <c r="I32" i="5"/>
  <c r="P29"/>
  <c r="P28"/>
  <c r="F24"/>
  <c r="E24"/>
  <c r="F19"/>
  <c r="E19"/>
  <c r="F12"/>
  <c r="E12"/>
  <c r="I29" i="3"/>
  <c r="P30"/>
  <c r="P29"/>
  <c r="F23"/>
  <c r="E23"/>
  <c r="F18"/>
  <c r="E18"/>
  <c r="F12"/>
  <c r="E12"/>
  <c r="P29" i="2"/>
  <c r="P28"/>
  <c r="F23"/>
  <c r="E23"/>
  <c r="F18"/>
  <c r="E18"/>
  <c r="F12"/>
  <c r="E12"/>
  <c r="I29" i="4"/>
  <c r="E12"/>
  <c r="F12"/>
  <c r="I31"/>
  <c r="P29"/>
  <c r="P28"/>
  <c r="F24"/>
  <c r="E24"/>
  <c r="F19"/>
  <c r="E19"/>
  <c r="J27" i="2"/>
  <c r="J25" i="19"/>
  <c r="J30" s="1"/>
  <c r="J26"/>
  <c r="P29" i="9"/>
  <c r="J26"/>
  <c r="J31" i="21"/>
  <c r="J30"/>
  <c r="J13"/>
  <c r="J28" i="18"/>
  <c r="J27"/>
  <c r="I18" i="10"/>
  <c r="J18" s="1"/>
  <c r="I14"/>
  <c r="I10"/>
  <c r="J10" s="1"/>
  <c r="J26" i="2"/>
  <c r="J30" s="1"/>
  <c r="J26" i="21"/>
  <c r="J28" i="10"/>
  <c r="J27"/>
  <c r="J34" s="1"/>
  <c r="J18" i="2"/>
  <c r="J29" i="8"/>
  <c r="J24" i="18"/>
  <c r="J28" i="9"/>
  <c r="J27" i="21"/>
  <c r="J24" i="25"/>
  <c r="J17"/>
  <c r="J11"/>
  <c r="J19" i="18"/>
  <c r="J12"/>
  <c r="J12" i="8"/>
  <c r="J25"/>
  <c r="J12" i="2"/>
  <c r="J35" i="18" l="1"/>
  <c r="J37" s="1"/>
  <c r="J38"/>
  <c r="I15" i="10"/>
  <c r="J15" s="1"/>
  <c r="I17"/>
  <c r="J17" s="1"/>
  <c r="I23"/>
  <c r="J23" s="1"/>
  <c r="I11"/>
  <c r="J11"/>
  <c r="J14"/>
  <c r="J20" s="1"/>
  <c r="I25" i="25"/>
  <c r="J25" s="1"/>
  <c r="P28"/>
  <c r="J29"/>
  <c r="J25" i="10"/>
  <c r="J12"/>
  <c r="J35" s="1"/>
  <c r="J34" i="8"/>
  <c r="J24" i="9"/>
  <c r="J26" i="4"/>
  <c r="J32" s="1"/>
  <c r="J12" i="3"/>
  <c r="J24" i="5"/>
  <c r="J30"/>
  <c r="I30"/>
  <c r="I7"/>
  <c r="J7" s="1"/>
  <c r="I8"/>
  <c r="J8" s="1"/>
  <c r="I9"/>
  <c r="J9" s="1"/>
  <c r="I10"/>
  <c r="J10" s="1"/>
  <c r="I27" i="9"/>
  <c r="J27" s="1"/>
  <c r="J32" s="1"/>
  <c r="P28"/>
  <c r="J30" i="25"/>
  <c r="J31" i="2"/>
  <c r="J26" i="8"/>
  <c r="J20"/>
  <c r="J35" i="21"/>
  <c r="J21"/>
  <c r="J36" s="1"/>
  <c r="J24" i="4"/>
  <c r="J19"/>
  <c r="J33" s="1"/>
  <c r="J31" i="3"/>
  <c r="J23"/>
  <c r="J26" i="5"/>
  <c r="J33" s="1"/>
  <c r="J18" i="19"/>
  <c r="I10"/>
  <c r="J10" s="1"/>
  <c r="I9"/>
  <c r="J9" s="1"/>
  <c r="I8"/>
  <c r="J8" s="1"/>
  <c r="J12" s="1"/>
  <c r="J31" s="1"/>
  <c r="I18" i="9"/>
  <c r="J18" s="1"/>
  <c r="J19" s="1"/>
  <c r="J33" s="1"/>
  <c r="J33" i="19" l="1"/>
  <c r="J35" i="9"/>
  <c r="J35" i="4"/>
  <c r="J38" i="21"/>
  <c r="J35" i="2"/>
  <c r="J33"/>
  <c r="J36"/>
  <c r="J35" i="8"/>
  <c r="J32" i="25"/>
  <c r="J35"/>
  <c r="J34"/>
  <c r="J37" i="10"/>
  <c r="J40"/>
  <c r="J39"/>
  <c r="J12" i="5"/>
  <c r="J34" s="1"/>
  <c r="J32" i="3"/>
  <c r="J39" i="18"/>
  <c r="J40" s="1"/>
  <c r="E44" s="1"/>
  <c r="E45" s="1"/>
  <c r="E46" s="1"/>
  <c r="J36" i="3" l="1"/>
  <c r="J34"/>
  <c r="J37"/>
  <c r="J37" i="8"/>
  <c r="J36" i="5"/>
  <c r="J41" i="10"/>
  <c r="J42" s="1"/>
  <c r="J36" i="25"/>
  <c r="J37" s="1"/>
  <c r="J37" i="2"/>
  <c r="J38" s="1"/>
  <c r="J41" i="21"/>
  <c r="J40"/>
  <c r="J42" s="1"/>
  <c r="J43" s="1"/>
  <c r="E47" s="1"/>
  <c r="E48" s="1"/>
  <c r="E49" s="1"/>
  <c r="J37" i="4"/>
  <c r="J39" s="1"/>
  <c r="J40" s="1"/>
  <c r="J38"/>
  <c r="J37" i="9"/>
  <c r="J39" s="1"/>
  <c r="J40" s="1"/>
  <c r="J38"/>
  <c r="J35" i="19"/>
  <c r="J37" s="1"/>
  <c r="J38" s="1"/>
  <c r="J36"/>
  <c r="J15" i="26" l="1"/>
  <c r="E44" i="9"/>
  <c r="E45" s="1"/>
  <c r="J8" i="26"/>
  <c r="E44" i="4"/>
  <c r="E45" s="1"/>
  <c r="J14" i="26"/>
  <c r="E42" i="19"/>
  <c r="E43" s="1"/>
  <c r="J7" i="26"/>
  <c r="E42" i="2"/>
  <c r="E43" s="1"/>
  <c r="E46" i="10"/>
  <c r="E47" s="1"/>
  <c r="J11" i="26"/>
  <c r="E41" i="25"/>
  <c r="E42" s="1"/>
  <c r="J13" i="26"/>
  <c r="J38" i="5"/>
  <c r="J40" s="1"/>
  <c r="J41" s="1"/>
  <c r="J39"/>
  <c r="J40" i="8"/>
  <c r="J39"/>
  <c r="J41" s="1"/>
  <c r="J42" s="1"/>
  <c r="J38" i="3"/>
  <c r="J39" s="1"/>
  <c r="E45" i="5" l="1"/>
  <c r="E46" s="1"/>
  <c r="J10" i="26"/>
  <c r="J12"/>
  <c r="E46" i="8"/>
  <c r="E47" s="1"/>
  <c r="J9" i="26"/>
  <c r="E43" i="3"/>
  <c r="E44" s="1"/>
  <c r="I13" i="26"/>
  <c r="M13" s="1"/>
  <c r="E43" i="25"/>
  <c r="I11" i="26"/>
  <c r="M11" s="1"/>
  <c r="E48" i="10"/>
  <c r="I7" i="26"/>
  <c r="M7" s="1"/>
  <c r="E44" i="2"/>
  <c r="E47" i="4" s="1"/>
  <c r="I14" i="26"/>
  <c r="M14" s="1"/>
  <c r="E44" i="19"/>
  <c r="I8" i="26"/>
  <c r="M8" s="1"/>
  <c r="E46" i="4"/>
  <c r="E46" i="9"/>
  <c r="I15" i="26"/>
  <c r="M15" s="1"/>
  <c r="I10" l="1"/>
  <c r="M10" s="1"/>
  <c r="E47" i="5"/>
  <c r="N14" i="26"/>
  <c r="N7"/>
  <c r="I9"/>
  <c r="M9" s="1"/>
  <c r="E45" i="3"/>
  <c r="E48" i="5" s="1"/>
  <c r="I12" i="26"/>
  <c r="M12" s="1"/>
  <c r="E48" i="8"/>
  <c r="N9" i="26" l="1"/>
</calcChain>
</file>

<file path=xl/sharedStrings.xml><?xml version="1.0" encoding="utf-8"?>
<sst xmlns="http://schemas.openxmlformats.org/spreadsheetml/2006/main" count="1467" uniqueCount="208">
  <si>
    <t>Materyal</t>
  </si>
  <si>
    <t>Birim</t>
  </si>
  <si>
    <t>Birim Fiyatı</t>
  </si>
  <si>
    <t>Tutarı</t>
  </si>
  <si>
    <t>AÇIKLAMA</t>
  </si>
  <si>
    <t>TOPRAK İŞLEME VE EKİM</t>
  </si>
  <si>
    <t>İkileme</t>
  </si>
  <si>
    <t>Üçleme</t>
  </si>
  <si>
    <t>Ekim+Gübreleme</t>
  </si>
  <si>
    <t>TOPLAM</t>
  </si>
  <si>
    <t>BAKIM İŞLERİ</t>
  </si>
  <si>
    <t>Gübreleme</t>
  </si>
  <si>
    <t>İlaçlama</t>
  </si>
  <si>
    <t>HASAT-HARMAN-TAŞIMA</t>
  </si>
  <si>
    <t xml:space="preserve">Hasat </t>
  </si>
  <si>
    <t>Hasat</t>
  </si>
  <si>
    <t>Taşıma</t>
  </si>
  <si>
    <t>ÇEŞİTLİ GİRDİLER</t>
  </si>
  <si>
    <t>Tohum</t>
  </si>
  <si>
    <t xml:space="preserve">İlaç </t>
  </si>
  <si>
    <t>MASRAFLAR TOPLAMI</t>
  </si>
  <si>
    <t>ORTAK GİDERLER</t>
  </si>
  <si>
    <t>Çeşitli Giderler</t>
  </si>
  <si>
    <t>Arazi Kirası</t>
  </si>
  <si>
    <t>Sermaye Faizi</t>
  </si>
  <si>
    <t>Yönetim Gideri</t>
  </si>
  <si>
    <t>GENEL TOPLAM</t>
  </si>
  <si>
    <t>VERİM</t>
  </si>
  <si>
    <t xml:space="preserve">YAN ÜRÜN GELİRİ </t>
  </si>
  <si>
    <t>ÜRETİM MALİYETİ</t>
  </si>
  <si>
    <t>(TL/kg)</t>
  </si>
  <si>
    <t>Nisan</t>
  </si>
  <si>
    <t>2-3 gövdeli pulluk</t>
  </si>
  <si>
    <t>Tırmık</t>
  </si>
  <si>
    <t>Kazayağı</t>
  </si>
  <si>
    <t>Ekim makinası</t>
  </si>
  <si>
    <t>Yardımcı</t>
  </si>
  <si>
    <t>Gübreleme makinası</t>
  </si>
  <si>
    <t>İlaçlama makinası</t>
  </si>
  <si>
    <t>sa</t>
  </si>
  <si>
    <t>kg</t>
  </si>
  <si>
    <t>Biçerdöğer</t>
  </si>
  <si>
    <t>Traktör-Römork</t>
  </si>
  <si>
    <t>%18-46 DAP</t>
  </si>
  <si>
    <t>Herbisit</t>
  </si>
  <si>
    <t>YAPILAN İŞLEMLER</t>
  </si>
  <si>
    <t>Temmuz</t>
  </si>
  <si>
    <t>HARCANAN İŞGÜCÜ</t>
  </si>
  <si>
    <t>İNSAN</t>
  </si>
  <si>
    <t>MAKİNE</t>
  </si>
  <si>
    <t xml:space="preserve">İŞLEM ZAMANI ve SAYISI </t>
  </si>
  <si>
    <t>Derin sürüm</t>
  </si>
  <si>
    <t>Su</t>
  </si>
  <si>
    <t>Mar-Nis</t>
  </si>
  <si>
    <t>Ağu-Eyl</t>
  </si>
  <si>
    <t>May-Ağu</t>
  </si>
  <si>
    <t>Biçer-Döğer</t>
  </si>
  <si>
    <t>İlaç</t>
  </si>
  <si>
    <t>Gübre Fiyatı</t>
  </si>
  <si>
    <t>Sulama ücreti</t>
  </si>
  <si>
    <t xml:space="preserve"> </t>
  </si>
  <si>
    <t>(kg/da)</t>
  </si>
  <si>
    <t>(TL/da)</t>
  </si>
  <si>
    <t>da</t>
  </si>
  <si>
    <t>(saat/dekar)</t>
  </si>
  <si>
    <t>Gübre (P2O5)</t>
  </si>
  <si>
    <t xml:space="preserve">Gübre(N) </t>
  </si>
  <si>
    <t>%26  A.Nitrat</t>
  </si>
  <si>
    <t>Sertifikalı</t>
  </si>
  <si>
    <t>Arazi Koruma Ücreti</t>
  </si>
  <si>
    <t>ÇMK Derneği</t>
  </si>
  <si>
    <t xml:space="preserve">TALEP EDLEN ÜRÜN FİYATI </t>
  </si>
  <si>
    <t>NOT:1- Hesaplamalarda, Doğrudan gelir desteği, Mazot desteği, Yem bitkileri desteği vb. herhangi bir destekleme dikkate alınmamıştır.</t>
  </si>
  <si>
    <t>Eyl-Ekim</t>
  </si>
  <si>
    <t>Miktarı</t>
  </si>
  <si>
    <t xml:space="preserve">Sulama </t>
  </si>
  <si>
    <t>Motopomp+İşçilik</t>
  </si>
  <si>
    <t>Mazot</t>
  </si>
  <si>
    <t>Sulama Birliği</t>
  </si>
  <si>
    <t>Tohum Fiyatı</t>
  </si>
  <si>
    <t>Tohum Miktarı</t>
  </si>
  <si>
    <t>%46 Üre</t>
  </si>
  <si>
    <t>Çapalama</t>
  </si>
  <si>
    <t>May-Haz-Tem</t>
  </si>
  <si>
    <t>Haz-Eylül</t>
  </si>
  <si>
    <t>May-Ağus</t>
  </si>
  <si>
    <t>Şub-Mart</t>
  </si>
  <si>
    <t>İkinci Sürüm</t>
  </si>
  <si>
    <t>Kadın İşçi</t>
  </si>
  <si>
    <t>Kadın İşçi Elle</t>
  </si>
  <si>
    <t>Söküm-Toplama-Baş Kesme</t>
  </si>
  <si>
    <t>Kasım-Aralık</t>
  </si>
  <si>
    <t>Yükleme Boşaltma</t>
  </si>
  <si>
    <t>Erkek İşçi Elle</t>
  </si>
  <si>
    <t>Küspe</t>
  </si>
  <si>
    <t>Şubat-Mart</t>
  </si>
  <si>
    <t>Mart-Nisan</t>
  </si>
  <si>
    <t>Nisan-May</t>
  </si>
  <si>
    <t>Mayıs-Tem</t>
  </si>
  <si>
    <t>Kurutma</t>
  </si>
  <si>
    <t>Erkek İşçi</t>
  </si>
  <si>
    <t>Sap Temizliği</t>
  </si>
  <si>
    <t>Eylül-Ekim</t>
  </si>
  <si>
    <t>Oneway+Tırmık</t>
  </si>
  <si>
    <t>Ekim-Kasım</t>
  </si>
  <si>
    <t>Ağus-Eyl</t>
  </si>
  <si>
    <t>Harman</t>
  </si>
  <si>
    <t>Kadın işçi</t>
  </si>
  <si>
    <t>Patoz</t>
  </si>
  <si>
    <t>Ekim-Kas</t>
  </si>
  <si>
    <t>Karık Açma</t>
  </si>
  <si>
    <t>Fide Dikimi Elle</t>
  </si>
  <si>
    <t>Mayıs</t>
  </si>
  <si>
    <t>Mayıs-Hazi</t>
  </si>
  <si>
    <t>Karık Pulluğu</t>
  </si>
  <si>
    <t xml:space="preserve">Taban Gübresi </t>
  </si>
  <si>
    <t>Elle Üste</t>
  </si>
  <si>
    <t>Hazi-Temm</t>
  </si>
  <si>
    <t>Hazi-Eylül</t>
  </si>
  <si>
    <t>Elle Kadın İşçi</t>
  </si>
  <si>
    <t>İlaçlama Makinası</t>
  </si>
  <si>
    <t>Temm-Ekim</t>
  </si>
  <si>
    <t>Hasat Ayırma-Ambalaj</t>
  </si>
  <si>
    <t>Hasat Toplama</t>
  </si>
  <si>
    <t xml:space="preserve">Fide  </t>
  </si>
  <si>
    <t>Fide Fiyatı</t>
  </si>
  <si>
    <t>%43 TSP</t>
  </si>
  <si>
    <t>%21  A.Nitrat</t>
  </si>
  <si>
    <t>Çeşitli İlaçlar</t>
  </si>
  <si>
    <t>Nisan-Mayıs</t>
  </si>
  <si>
    <t>Elle</t>
  </si>
  <si>
    <t>Ekim</t>
  </si>
  <si>
    <t>Ekim Yardımcı</t>
  </si>
  <si>
    <t>Mibzer</t>
  </si>
  <si>
    <t>Adet</t>
  </si>
  <si>
    <t>Fide Miktarı (Adet)</t>
  </si>
  <si>
    <t>Çapalama-Tekleme</t>
  </si>
  <si>
    <t>Çapalama-Tekleme-Çapa</t>
  </si>
  <si>
    <t>Boğaz Doldurma</t>
  </si>
  <si>
    <t>Ağustos</t>
  </si>
  <si>
    <t>Yükleme-Boşaltma</t>
  </si>
  <si>
    <t>%21 A.Sülfat</t>
  </si>
  <si>
    <t>%21  A.Sülfat</t>
  </si>
  <si>
    <t>Eyl-Mart</t>
  </si>
  <si>
    <t>Çapa-Tekleme-Çapa</t>
  </si>
  <si>
    <t>Ağus-Aralık</t>
  </si>
  <si>
    <t>Söküm-Toplama</t>
  </si>
  <si>
    <t>Çuval</t>
  </si>
  <si>
    <t>Çuval Adedi</t>
  </si>
  <si>
    <t>Çuval Fiyatı</t>
  </si>
  <si>
    <t>ad</t>
  </si>
  <si>
    <t>%15-15-15 Kompoze</t>
  </si>
  <si>
    <t>Çuval Bedeli</t>
  </si>
  <si>
    <t>Sıvı Gübre</t>
  </si>
  <si>
    <t>Ester+Granster</t>
  </si>
  <si>
    <t>50gr+1,5 gr</t>
  </si>
  <si>
    <t>%33 A.Nitrat</t>
  </si>
  <si>
    <t>Gübre (N)</t>
  </si>
  <si>
    <t>NOT:2-Talep edilen ürün fiyatı hesaplanırken, maliyet fiyatına % 30 üretici karı eklenmiştir.</t>
  </si>
  <si>
    <t>Y.Ot+Antraknoz</t>
  </si>
  <si>
    <t>ekim</t>
  </si>
  <si>
    <t>nisan</t>
  </si>
  <si>
    <t>Eskişehir İlinde Sulu Tarım Şartlarında Arpanın Dekara Ortalama Üretim Girdileri ve Maliyeti (2010 - 2011)</t>
  </si>
  <si>
    <t>TL</t>
  </si>
  <si>
    <t>Erk.İşçilik Saat/TL</t>
  </si>
  <si>
    <t>Kadın İşçilik Saat/TL</t>
  </si>
  <si>
    <t>S</t>
  </si>
  <si>
    <t>K</t>
  </si>
  <si>
    <t>Haşhaş</t>
  </si>
  <si>
    <t>Nohut</t>
  </si>
  <si>
    <t>Ayçiçeği</t>
  </si>
  <si>
    <t>Şeker Pancarı</t>
  </si>
  <si>
    <t>Buğday</t>
  </si>
  <si>
    <t>Arpa</t>
  </si>
  <si>
    <t>Talep Edilen Ürün Satış Fiyatı Ort.TL/kg</t>
  </si>
  <si>
    <t>Talep Edilen Ürün Satış Fiyatı (TL/kg)</t>
  </si>
  <si>
    <t>Ürünün Satış Fiyatı (TL/kg)</t>
  </si>
  <si>
    <t>Verim kg/da</t>
  </si>
  <si>
    <t>Maliyet TL/da</t>
  </si>
  <si>
    <t>Maliyet TL/kg</t>
  </si>
  <si>
    <t>Masraflar Toplamı           TL/da</t>
  </si>
  <si>
    <t>Çeşitli Girdiler          TL/da</t>
  </si>
  <si>
    <t>Hasat           TL/da</t>
  </si>
  <si>
    <t>Bakım          TL/da</t>
  </si>
  <si>
    <t>Toprak İşleme     TL/da</t>
  </si>
  <si>
    <t>Tarım Şekli</t>
  </si>
  <si>
    <t>Ürünün Adı</t>
  </si>
  <si>
    <t>%15-15-15</t>
  </si>
  <si>
    <t>%15.15.15 Kom</t>
  </si>
  <si>
    <t>2011-2012</t>
  </si>
  <si>
    <t>(dört balya x 3 TL)</t>
  </si>
  <si>
    <t>(sekiz balya x 3 TL)</t>
  </si>
  <si>
    <t>%12-30-12 Kompoze</t>
  </si>
  <si>
    <t>%15-15-15 Taban</t>
  </si>
  <si>
    <t>3 TLx 60 Kg</t>
  </si>
  <si>
    <t>3TLx 90 Kg</t>
  </si>
  <si>
    <t>Eskişehir İlinde Kuru Tarım Şartlarında Arpanın Dekara Ortalama Üretim Girdileri ve Maliyeti (2012 - 2013)</t>
  </si>
  <si>
    <t>2012-2013</t>
  </si>
  <si>
    <t>Eskişehir İlinde Kuru Tarım Şartlarında Buğdayın Dekara Ortalama Üretim Girdileri ve Maliyeti (2012 - 2013)</t>
  </si>
  <si>
    <t>Eskişehir İlinde Sulu Tarım Şartlarında Buğdayın Dekara Ortalama Üretim Girdileri ve Maliyeti (2012 - 2013)</t>
  </si>
  <si>
    <t>Eskişehir İlinde Sulu Tarım Şartlarında Şeker Pancarının Dekara Ortalama Üretim Girdileri ve Maliyeti (2012-2013)</t>
  </si>
  <si>
    <t>Eskişehir İlinde Sulu Tarım Şartlarında Ayçiçeğinin Dekara Ortalama Üretim Girdileri ve Maliyeti (2012 - 2013)</t>
  </si>
  <si>
    <t>Eskişehir İlinde Kuru Tarım Şartlarında Nohutun Dekara Ortalama Üretim Girdileri ve Maliyeti (2012 - 2013)</t>
  </si>
  <si>
    <t>Eskişehir İlinde Sulu Tarım Şartlarında Domatesin Dekara Ortalama Üretim Girdileri ve Maliyeti (2012 - 2013)</t>
  </si>
  <si>
    <t>Eskişehir İlinde Sulu Tarım Şartlarında Kuru Soğanın Dekara Ortalama Üretim Girdileri ve Maliyeti (2012 - 2013)</t>
  </si>
  <si>
    <t>Eskişehir İlinde Sulu Tarım Şartlarında Haşhaşın Dekara Ortalama Üretim Girdileri ve Maliyeti (2012 - 2013)</t>
  </si>
  <si>
    <t>Eskişehir İlinde Kuru Tarım Şartlarında Haşhaşın Dekara Ortalama Üretim Girdileri ve Maliyeti (2012 - 2013)</t>
  </si>
  <si>
    <t>2012-2013 MALİYET TABLOSU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</si>
</sst>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0"/>
    <numFmt numFmtId="166" formatCode="#,##0.0000"/>
    <numFmt numFmtId="167" formatCode="#,##0.00\ _Y_T_L"/>
  </numFmts>
  <fonts count="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1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0" xfId="0" applyFont="1" applyBorder="1"/>
    <xf numFmtId="4" fontId="4" fillId="0" borderId="0" xfId="0" applyNumberFormat="1" applyFont="1"/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/>
    <xf numFmtId="4" fontId="4" fillId="0" borderId="17" xfId="0" applyNumberFormat="1" applyFont="1" applyBorder="1"/>
    <xf numFmtId="4" fontId="4" fillId="0" borderId="18" xfId="0" applyNumberFormat="1" applyFont="1" applyBorder="1"/>
    <xf numFmtId="0" fontId="4" fillId="0" borderId="19" xfId="0" applyFont="1" applyBorder="1"/>
    <xf numFmtId="0" fontId="4" fillId="0" borderId="11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/>
    <xf numFmtId="4" fontId="4" fillId="0" borderId="22" xfId="0" applyNumberFormat="1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164" fontId="4" fillId="0" borderId="23" xfId="0" applyNumberFormat="1" applyFont="1" applyBorder="1"/>
    <xf numFmtId="3" fontId="4" fillId="0" borderId="20" xfId="0" applyNumberFormat="1" applyFont="1" applyBorder="1"/>
    <xf numFmtId="4" fontId="4" fillId="0" borderId="23" xfId="0" applyNumberFormat="1" applyFont="1" applyBorder="1"/>
    <xf numFmtId="0" fontId="4" fillId="0" borderId="6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/>
    <xf numFmtId="3" fontId="4" fillId="0" borderId="13" xfId="0" applyNumberFormat="1" applyFont="1" applyBorder="1"/>
    <xf numFmtId="0" fontId="4" fillId="0" borderId="25" xfId="0" applyFont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164" fontId="4" fillId="0" borderId="26" xfId="0" applyNumberFormat="1" applyFont="1" applyBorder="1"/>
    <xf numFmtId="4" fontId="4" fillId="0" borderId="26" xfId="0" applyNumberFormat="1" applyFont="1" applyBorder="1"/>
    <xf numFmtId="0" fontId="4" fillId="0" borderId="28" xfId="0" applyFont="1" applyBorder="1"/>
    <xf numFmtId="0" fontId="4" fillId="0" borderId="0" xfId="0" applyFont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29" xfId="0" applyFont="1" applyBorder="1"/>
    <xf numFmtId="4" fontId="4" fillId="0" borderId="0" xfId="0" applyNumberFormat="1" applyFont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164" fontId="4" fillId="0" borderId="30" xfId="0" applyNumberFormat="1" applyFont="1" applyBorder="1"/>
    <xf numFmtId="3" fontId="4" fillId="0" borderId="30" xfId="0" applyNumberFormat="1" applyFont="1" applyBorder="1"/>
    <xf numFmtId="0" fontId="4" fillId="0" borderId="27" xfId="0" applyFont="1" applyBorder="1"/>
    <xf numFmtId="0" fontId="4" fillId="0" borderId="21" xfId="0" applyFont="1" applyBorder="1"/>
    <xf numFmtId="2" fontId="4" fillId="0" borderId="31" xfId="0" applyNumberFormat="1" applyFont="1" applyBorder="1" applyAlignment="1">
      <alignment horizontal="center"/>
    </xf>
    <xf numFmtId="4" fontId="4" fillId="0" borderId="20" xfId="0" applyNumberFormat="1" applyFont="1" applyBorder="1"/>
    <xf numFmtId="0" fontId="4" fillId="0" borderId="7" xfId="0" applyFont="1" applyBorder="1"/>
    <xf numFmtId="2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0" fontId="4" fillId="0" borderId="32" xfId="0" applyFont="1" applyBorder="1"/>
    <xf numFmtId="2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3" fontId="4" fillId="0" borderId="23" xfId="0" applyNumberFormat="1" applyFont="1" applyBorder="1"/>
    <xf numFmtId="0" fontId="4" fillId="0" borderId="10" xfId="0" applyFont="1" applyBorder="1"/>
    <xf numFmtId="0" fontId="4" fillId="0" borderId="35" xfId="0" applyFont="1" applyBorder="1"/>
    <xf numFmtId="164" fontId="4" fillId="0" borderId="0" xfId="0" applyNumberFormat="1" applyFont="1" applyAlignment="1">
      <alignment horizontal="center"/>
    </xf>
    <xf numFmtId="0" fontId="4" fillId="0" borderId="36" xfId="0" applyFont="1" applyBorder="1"/>
    <xf numFmtId="0" fontId="4" fillId="0" borderId="26" xfId="0" applyFont="1" applyBorder="1"/>
    <xf numFmtId="0" fontId="4" fillId="0" borderId="37" xfId="0" applyFont="1" applyBorder="1"/>
    <xf numFmtId="0" fontId="4" fillId="0" borderId="18" xfId="0" applyFont="1" applyBorder="1"/>
    <xf numFmtId="0" fontId="4" fillId="0" borderId="17" xfId="0" applyFont="1" applyBorder="1"/>
    <xf numFmtId="0" fontId="4" fillId="0" borderId="38" xfId="0" applyFont="1" applyBorder="1"/>
    <xf numFmtId="0" fontId="4" fillId="0" borderId="39" xfId="0" applyFont="1" applyBorder="1"/>
    <xf numFmtId="0" fontId="4" fillId="0" borderId="40" xfId="0" applyFont="1" applyBorder="1"/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4" fillId="0" borderId="41" xfId="0" applyFont="1" applyBorder="1"/>
    <xf numFmtId="0" fontId="4" fillId="0" borderId="42" xfId="0" applyFont="1" applyBorder="1"/>
    <xf numFmtId="0" fontId="4" fillId="0" borderId="3" xfId="0" applyFont="1" applyBorder="1"/>
    <xf numFmtId="0" fontId="4" fillId="0" borderId="43" xfId="0" applyFont="1" applyBorder="1"/>
    <xf numFmtId="0" fontId="4" fillId="0" borderId="31" xfId="0" applyFont="1" applyBorder="1"/>
    <xf numFmtId="4" fontId="4" fillId="0" borderId="31" xfId="0" applyNumberFormat="1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4" fontId="4" fillId="0" borderId="46" xfId="0" applyNumberFormat="1" applyFont="1" applyBorder="1"/>
    <xf numFmtId="0" fontId="4" fillId="0" borderId="47" xfId="0" applyFont="1" applyBorder="1"/>
    <xf numFmtId="0" fontId="4" fillId="0" borderId="30" xfId="0" applyFont="1" applyBorder="1"/>
    <xf numFmtId="0" fontId="4" fillId="0" borderId="2" xfId="0" applyFont="1" applyBorder="1"/>
    <xf numFmtId="0" fontId="4" fillId="0" borderId="4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8" xfId="0" applyFont="1" applyBorder="1"/>
    <xf numFmtId="0" fontId="4" fillId="0" borderId="49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" fillId="0" borderId="49" xfId="0" applyFont="1" applyBorder="1"/>
    <xf numFmtId="0" fontId="4" fillId="0" borderId="39" xfId="0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0" fontId="4" fillId="0" borderId="51" xfId="0" applyFont="1" applyBorder="1"/>
    <xf numFmtId="4" fontId="4" fillId="0" borderId="0" xfId="0" applyNumberFormat="1" applyFont="1" applyBorder="1" applyAlignment="1">
      <alignment horizontal="center"/>
    </xf>
    <xf numFmtId="164" fontId="4" fillId="0" borderId="49" xfId="0" applyNumberFormat="1" applyFont="1" applyBorder="1"/>
    <xf numFmtId="4" fontId="4" fillId="0" borderId="49" xfId="0" applyNumberFormat="1" applyFont="1" applyBorder="1"/>
    <xf numFmtId="2" fontId="4" fillId="0" borderId="17" xfId="0" applyNumberFormat="1" applyFont="1" applyBorder="1"/>
    <xf numFmtId="2" fontId="4" fillId="0" borderId="20" xfId="0" applyNumberFormat="1" applyFont="1" applyBorder="1"/>
    <xf numFmtId="2" fontId="4" fillId="0" borderId="23" xfId="0" applyNumberFormat="1" applyFont="1" applyBorder="1"/>
    <xf numFmtId="2" fontId="4" fillId="0" borderId="13" xfId="0" applyNumberFormat="1" applyFont="1" applyBorder="1"/>
    <xf numFmtId="2" fontId="4" fillId="0" borderId="26" xfId="0" applyNumberFormat="1" applyFont="1" applyBorder="1"/>
    <xf numFmtId="2" fontId="4" fillId="0" borderId="49" xfId="0" applyNumberFormat="1" applyFont="1" applyBorder="1"/>
    <xf numFmtId="2" fontId="4" fillId="0" borderId="0" xfId="0" applyNumberFormat="1" applyFont="1"/>
    <xf numFmtId="0" fontId="4" fillId="0" borderId="20" xfId="0" applyFont="1" applyBorder="1"/>
    <xf numFmtId="2" fontId="4" fillId="0" borderId="52" xfId="0" applyNumberFormat="1" applyFont="1" applyBorder="1"/>
    <xf numFmtId="3" fontId="4" fillId="0" borderId="52" xfId="0" applyNumberFormat="1" applyFont="1" applyBorder="1"/>
    <xf numFmtId="165" fontId="4" fillId="0" borderId="20" xfId="0" applyNumberFormat="1" applyFont="1" applyBorder="1"/>
    <xf numFmtId="2" fontId="4" fillId="0" borderId="22" xfId="0" applyNumberFormat="1" applyFont="1" applyBorder="1"/>
    <xf numFmtId="3" fontId="4" fillId="0" borderId="0" xfId="0" applyNumberFormat="1" applyFont="1"/>
    <xf numFmtId="0" fontId="4" fillId="0" borderId="50" xfId="0" applyFont="1" applyBorder="1"/>
    <xf numFmtId="4" fontId="4" fillId="0" borderId="40" xfId="0" applyNumberFormat="1" applyFont="1" applyBorder="1"/>
    <xf numFmtId="0" fontId="4" fillId="0" borderId="53" xfId="0" applyFont="1" applyBorder="1"/>
    <xf numFmtId="0" fontId="4" fillId="0" borderId="52" xfId="0" applyFont="1" applyBorder="1"/>
    <xf numFmtId="165" fontId="4" fillId="0" borderId="17" xfId="0" applyNumberFormat="1" applyFont="1" applyBorder="1"/>
    <xf numFmtId="0" fontId="4" fillId="0" borderId="54" xfId="0" applyFont="1" applyBorder="1"/>
    <xf numFmtId="1" fontId="4" fillId="0" borderId="20" xfId="0" applyNumberFormat="1" applyFont="1" applyBorder="1"/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horizontal="right"/>
    </xf>
    <xf numFmtId="166" fontId="4" fillId="0" borderId="37" xfId="0" applyNumberFormat="1" applyFont="1" applyBorder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0" fontId="0" fillId="0" borderId="19" xfId="0" applyBorder="1"/>
    <xf numFmtId="0" fontId="4" fillId="0" borderId="8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2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4" fontId="5" fillId="0" borderId="36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167" fontId="0" fillId="0" borderId="0" xfId="0" applyNumberFormat="1"/>
    <xf numFmtId="0" fontId="0" fillId="0" borderId="52" xfId="0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28" xfId="0" applyFont="1" applyBorder="1"/>
    <xf numFmtId="3" fontId="4" fillId="0" borderId="0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zoomScale="75" workbookViewId="0">
      <selection activeCell="I2" sqref="I2"/>
    </sheetView>
  </sheetViews>
  <sheetFormatPr defaultColWidth="9.109375" defaultRowHeight="13.2"/>
  <cols>
    <col min="1" max="1" width="2.6640625" style="15" customWidth="1"/>
    <col min="2" max="2" width="25.88671875" style="15" customWidth="1"/>
    <col min="3" max="3" width="12.33203125" style="15" customWidth="1"/>
    <col min="4" max="4" width="4.88671875" style="15" customWidth="1"/>
    <col min="5" max="5" width="9.109375" style="15"/>
    <col min="6" max="6" width="10.6640625" style="15" customWidth="1"/>
    <col min="7" max="8" width="9.109375" style="15"/>
    <col min="9" max="9" width="11.33203125" style="15" customWidth="1"/>
    <col min="10" max="10" width="13.44140625" style="15" customWidth="1"/>
    <col min="11" max="11" width="19" style="15" customWidth="1"/>
    <col min="12" max="12" width="8.109375" style="15" customWidth="1"/>
    <col min="13" max="13" width="5.109375" style="15" customWidth="1"/>
    <col min="14" max="14" width="14.88671875" style="15" customWidth="1"/>
    <col min="15" max="15" width="7" style="15" customWidth="1"/>
    <col min="16" max="16" width="11.44140625" style="15" customWidth="1"/>
    <col min="17" max="17" width="12.33203125" style="15" customWidth="1"/>
    <col min="18" max="16384" width="9.109375" style="15"/>
  </cols>
  <sheetData>
    <row r="1" spans="2:17" s="9" customFormat="1">
      <c r="B1" t="s">
        <v>196</v>
      </c>
      <c r="I1"/>
    </row>
    <row r="2" spans="2:17" s="9" customFormat="1" ht="13.8" thickBot="1"/>
    <row r="3" spans="2:17">
      <c r="B3" s="10"/>
      <c r="C3" s="176" t="s">
        <v>50</v>
      </c>
      <c r="D3" s="177"/>
      <c r="E3" s="175" t="s">
        <v>47</v>
      </c>
      <c r="F3" s="175"/>
      <c r="G3" s="11"/>
      <c r="H3" s="12"/>
      <c r="I3" s="11"/>
      <c r="J3" s="11"/>
      <c r="K3" s="13"/>
      <c r="L3" s="14"/>
    </row>
    <row r="4" spans="2:17" ht="13.8" thickBot="1">
      <c r="B4" s="3" t="s">
        <v>45</v>
      </c>
      <c r="C4" s="178"/>
      <c r="D4" s="179"/>
      <c r="E4" s="174" t="s">
        <v>64</v>
      </c>
      <c r="F4" s="174"/>
      <c r="G4" s="4" t="s">
        <v>0</v>
      </c>
      <c r="H4" s="3" t="s">
        <v>1</v>
      </c>
      <c r="I4" s="4" t="s">
        <v>2</v>
      </c>
      <c r="J4" s="4" t="s">
        <v>3</v>
      </c>
      <c r="K4" s="8" t="s">
        <v>4</v>
      </c>
      <c r="L4" s="16"/>
    </row>
    <row r="5" spans="2:17" ht="13.8" thickBot="1">
      <c r="B5" s="17"/>
      <c r="C5" s="180"/>
      <c r="D5" s="181"/>
      <c r="E5" s="6" t="s">
        <v>48</v>
      </c>
      <c r="F5" s="7" t="s">
        <v>49</v>
      </c>
      <c r="G5" s="18"/>
      <c r="H5" s="17"/>
      <c r="I5" s="5" t="s">
        <v>163</v>
      </c>
      <c r="J5" s="5" t="s">
        <v>163</v>
      </c>
      <c r="K5" s="19"/>
      <c r="L5" s="14"/>
    </row>
    <row r="6" spans="2:17">
      <c r="B6" s="2" t="s">
        <v>5</v>
      </c>
      <c r="C6" s="20"/>
      <c r="D6" s="21"/>
      <c r="E6" s="20"/>
      <c r="F6" s="20"/>
      <c r="G6" s="20"/>
      <c r="H6" s="20"/>
      <c r="I6" s="20"/>
      <c r="J6" s="21"/>
      <c r="K6" s="22"/>
      <c r="L6" s="23"/>
      <c r="P6" s="24"/>
    </row>
    <row r="7" spans="2:17">
      <c r="B7" s="25" t="s">
        <v>51</v>
      </c>
      <c r="C7" s="26" t="s">
        <v>54</v>
      </c>
      <c r="D7" s="27">
        <v>1</v>
      </c>
      <c r="E7" s="28">
        <v>0.24</v>
      </c>
      <c r="F7" s="28">
        <v>0.24</v>
      </c>
      <c r="G7" s="29">
        <v>2</v>
      </c>
      <c r="H7" s="26" t="s">
        <v>63</v>
      </c>
      <c r="I7" s="30">
        <f>P11</f>
        <v>4.2</v>
      </c>
      <c r="J7" s="31">
        <f>(G7*I7)+(E7*P12)</f>
        <v>9.6</v>
      </c>
      <c r="K7" s="32" t="s">
        <v>32</v>
      </c>
      <c r="L7" s="23"/>
      <c r="P7" s="24"/>
    </row>
    <row r="8" spans="2:17">
      <c r="B8" s="25" t="s">
        <v>6</v>
      </c>
      <c r="C8" s="26" t="s">
        <v>73</v>
      </c>
      <c r="D8" s="27">
        <v>1</v>
      </c>
      <c r="E8" s="28">
        <v>0.12</v>
      </c>
      <c r="F8" s="28">
        <v>0.12</v>
      </c>
      <c r="G8" s="29">
        <v>1.5</v>
      </c>
      <c r="H8" s="26" t="s">
        <v>63</v>
      </c>
      <c r="I8" s="30">
        <f>P11</f>
        <v>4.2</v>
      </c>
      <c r="J8" s="31">
        <f>(I8*G8)+(P12*E8)</f>
        <v>6.9</v>
      </c>
      <c r="K8" s="32" t="s">
        <v>34</v>
      </c>
      <c r="L8" s="23"/>
      <c r="P8" s="24"/>
    </row>
    <row r="9" spans="2:17">
      <c r="B9" s="25" t="s">
        <v>7</v>
      </c>
      <c r="C9" s="26" t="s">
        <v>73</v>
      </c>
      <c r="D9" s="27">
        <v>1</v>
      </c>
      <c r="E9" s="28">
        <v>0.12</v>
      </c>
      <c r="F9" s="28">
        <v>0.12</v>
      </c>
      <c r="G9" s="29">
        <v>1.5</v>
      </c>
      <c r="H9" s="26" t="s">
        <v>63</v>
      </c>
      <c r="I9" s="30">
        <f>P11</f>
        <v>4.2</v>
      </c>
      <c r="J9" s="31">
        <f>(I9*G9)+(P12*E9)</f>
        <v>6.9</v>
      </c>
      <c r="K9" s="32" t="s">
        <v>33</v>
      </c>
      <c r="L9" s="23"/>
      <c r="P9" s="24"/>
    </row>
    <row r="10" spans="2:17">
      <c r="B10" s="25" t="s">
        <v>8</v>
      </c>
      <c r="C10" s="26" t="s">
        <v>73</v>
      </c>
      <c r="D10" s="27">
        <v>1</v>
      </c>
      <c r="E10" s="28">
        <v>0.1</v>
      </c>
      <c r="F10" s="28">
        <v>0.1</v>
      </c>
      <c r="G10" s="29">
        <v>1</v>
      </c>
      <c r="H10" s="26" t="s">
        <v>63</v>
      </c>
      <c r="I10" s="30">
        <f>P11</f>
        <v>4.2</v>
      </c>
      <c r="J10" s="31">
        <f>(I10*G10)+(P11*E10)</f>
        <v>4.62</v>
      </c>
      <c r="K10" s="32" t="s">
        <v>133</v>
      </c>
      <c r="L10" s="23"/>
      <c r="P10" s="15" t="s">
        <v>131</v>
      </c>
      <c r="Q10" s="15" t="s">
        <v>31</v>
      </c>
    </row>
    <row r="11" spans="2:17" ht="13.8" thickBot="1">
      <c r="B11" s="33" t="s">
        <v>8</v>
      </c>
      <c r="C11" s="34" t="s">
        <v>73</v>
      </c>
      <c r="D11" s="35"/>
      <c r="E11" s="36">
        <v>0.1</v>
      </c>
      <c r="F11" s="36"/>
      <c r="G11" s="37"/>
      <c r="H11" s="34" t="s">
        <v>39</v>
      </c>
      <c r="I11" s="38">
        <f>P12</f>
        <v>5</v>
      </c>
      <c r="J11" s="31">
        <f>P12*E11</f>
        <v>0.5</v>
      </c>
      <c r="K11" s="39" t="s">
        <v>132</v>
      </c>
      <c r="L11" s="23"/>
      <c r="N11" s="15" t="s">
        <v>77</v>
      </c>
      <c r="P11" s="144">
        <v>4.2</v>
      </c>
      <c r="Q11" s="144">
        <v>4.03</v>
      </c>
    </row>
    <row r="12" spans="2:17" ht="13.8" thickBot="1">
      <c r="B12" s="40" t="s">
        <v>9</v>
      </c>
      <c r="C12" s="41"/>
      <c r="D12" s="42"/>
      <c r="E12" s="43">
        <f>SUM(E7:E11)</f>
        <v>0.67999999999999994</v>
      </c>
      <c r="F12" s="44">
        <f>SUM(F7:F11)</f>
        <v>0.57999999999999996</v>
      </c>
      <c r="G12" s="45"/>
      <c r="H12" s="42"/>
      <c r="I12" s="46"/>
      <c r="J12" s="47">
        <f>SUM(J7:J11)</f>
        <v>28.52</v>
      </c>
      <c r="K12" s="48"/>
      <c r="L12" s="23"/>
      <c r="N12" t="s">
        <v>164</v>
      </c>
      <c r="P12" s="24">
        <v>5</v>
      </c>
    </row>
    <row r="13" spans="2:17">
      <c r="B13" s="2" t="s">
        <v>10</v>
      </c>
      <c r="C13" s="49"/>
      <c r="D13" s="50"/>
      <c r="E13" s="51"/>
      <c r="F13" s="51"/>
      <c r="G13" s="52"/>
      <c r="H13" s="49"/>
      <c r="I13" s="53"/>
      <c r="J13" s="53"/>
      <c r="K13" s="22"/>
      <c r="L13" s="23"/>
      <c r="N13" s="15" t="s">
        <v>56</v>
      </c>
      <c r="P13" s="24">
        <v>12</v>
      </c>
    </row>
    <row r="14" spans="2:17">
      <c r="B14" s="54" t="s">
        <v>11</v>
      </c>
      <c r="C14" s="55" t="s">
        <v>53</v>
      </c>
      <c r="D14" s="56">
        <v>1</v>
      </c>
      <c r="E14" s="57">
        <v>0.09</v>
      </c>
      <c r="F14" s="57">
        <v>0.09</v>
      </c>
      <c r="G14" s="58">
        <v>0.5</v>
      </c>
      <c r="H14" s="55" t="s">
        <v>63</v>
      </c>
      <c r="I14" s="59">
        <f>Q11</f>
        <v>4.03</v>
      </c>
      <c r="J14" s="31">
        <f>(P12*E14)+(G14*I14)</f>
        <v>2.4649999999999999</v>
      </c>
      <c r="K14" s="60" t="s">
        <v>37</v>
      </c>
      <c r="L14" s="23"/>
      <c r="N14" s="15" t="s">
        <v>16</v>
      </c>
      <c r="P14" s="24">
        <v>35</v>
      </c>
    </row>
    <row r="15" spans="2:17">
      <c r="B15" s="25" t="s">
        <v>11</v>
      </c>
      <c r="C15" s="26" t="s">
        <v>53</v>
      </c>
      <c r="D15" s="27"/>
      <c r="E15" s="28">
        <v>0.09</v>
      </c>
      <c r="F15" s="28"/>
      <c r="G15" s="29"/>
      <c r="H15" s="26" t="s">
        <v>39</v>
      </c>
      <c r="I15" s="59">
        <f>P12</f>
        <v>5</v>
      </c>
      <c r="J15" s="30">
        <f>I15*E15</f>
        <v>0.44999999999999996</v>
      </c>
      <c r="K15" s="32" t="s">
        <v>36</v>
      </c>
      <c r="L15" s="23"/>
      <c r="N15" s="15" t="s">
        <v>23</v>
      </c>
      <c r="P15" s="24">
        <v>30</v>
      </c>
    </row>
    <row r="16" spans="2:17">
      <c r="B16" s="54" t="s">
        <v>12</v>
      </c>
      <c r="C16" s="55" t="s">
        <v>31</v>
      </c>
      <c r="D16" s="56">
        <v>1</v>
      </c>
      <c r="E16" s="57">
        <v>0.08</v>
      </c>
      <c r="F16" s="57">
        <v>0.08</v>
      </c>
      <c r="G16" s="58">
        <v>0.5</v>
      </c>
      <c r="H16" s="55" t="s">
        <v>63</v>
      </c>
      <c r="I16" s="59">
        <f>Q11</f>
        <v>4.03</v>
      </c>
      <c r="J16" s="31">
        <f>(G16*I16)</f>
        <v>2.0150000000000001</v>
      </c>
      <c r="K16" s="60" t="s">
        <v>38</v>
      </c>
      <c r="L16" s="23"/>
      <c r="N16" s="15" t="s">
        <v>69</v>
      </c>
      <c r="O16" s="61"/>
      <c r="P16" s="24">
        <v>1.5</v>
      </c>
    </row>
    <row r="17" spans="2:26" ht="13.8" thickBot="1">
      <c r="B17" s="25" t="s">
        <v>12</v>
      </c>
      <c r="C17" s="26" t="s">
        <v>31</v>
      </c>
      <c r="D17" s="27"/>
      <c r="E17" s="28">
        <v>0.08</v>
      </c>
      <c r="F17" s="62"/>
      <c r="G17" s="29"/>
      <c r="H17" s="26" t="s">
        <v>39</v>
      </c>
      <c r="I17" s="59">
        <f>P12</f>
        <v>5</v>
      </c>
      <c r="J17" s="31">
        <f>(I17*E17)</f>
        <v>0.4</v>
      </c>
      <c r="K17" s="63" t="s">
        <v>36</v>
      </c>
      <c r="L17" s="23"/>
      <c r="N17" s="15" t="s">
        <v>57</v>
      </c>
      <c r="P17" s="24">
        <v>150</v>
      </c>
      <c r="Q17" s="64"/>
    </row>
    <row r="18" spans="2:26" ht="13.8" thickBot="1">
      <c r="B18" s="40" t="s">
        <v>9</v>
      </c>
      <c r="C18" s="65"/>
      <c r="D18" s="66"/>
      <c r="E18" s="44">
        <f>SUM(E14:E17)</f>
        <v>0.34</v>
      </c>
      <c r="F18" s="44">
        <f>SUM(F14:F17)</f>
        <v>0.16999999999999998</v>
      </c>
      <c r="G18" s="67"/>
      <c r="H18" s="41"/>
      <c r="I18" s="68"/>
      <c r="J18" s="47">
        <f>SUM(J14:J17)</f>
        <v>5.33</v>
      </c>
      <c r="K18" s="48"/>
      <c r="N18" s="15" t="s">
        <v>59</v>
      </c>
      <c r="P18" s="15">
        <v>16.8</v>
      </c>
    </row>
    <row r="19" spans="2:26">
      <c r="B19" s="2" t="s">
        <v>13</v>
      </c>
      <c r="C19" s="20"/>
      <c r="D19" s="21"/>
      <c r="E19" s="51"/>
      <c r="F19" s="51"/>
      <c r="G19" s="52"/>
      <c r="H19" s="49"/>
      <c r="I19" s="53"/>
      <c r="J19" s="53"/>
      <c r="K19" s="22"/>
      <c r="L19" s="23"/>
      <c r="N19" s="15" t="s">
        <v>79</v>
      </c>
      <c r="P19" s="24">
        <v>1.25</v>
      </c>
    </row>
    <row r="20" spans="2:26">
      <c r="B20" s="54" t="s">
        <v>14</v>
      </c>
      <c r="C20" s="55" t="s">
        <v>46</v>
      </c>
      <c r="D20" s="56">
        <v>1</v>
      </c>
      <c r="E20" s="57">
        <v>0.12</v>
      </c>
      <c r="F20" s="57">
        <v>0.12</v>
      </c>
      <c r="G20" s="58"/>
      <c r="H20" s="55" t="s">
        <v>63</v>
      </c>
      <c r="I20" s="59">
        <f>P13</f>
        <v>12</v>
      </c>
      <c r="J20" s="31">
        <f>(I20*D20)</f>
        <v>12</v>
      </c>
      <c r="K20" s="60" t="s">
        <v>41</v>
      </c>
      <c r="L20" s="23"/>
      <c r="N20" s="15" t="s">
        <v>80</v>
      </c>
      <c r="P20" s="24">
        <v>20</v>
      </c>
    </row>
    <row r="21" spans="2:26">
      <c r="B21" s="54" t="s">
        <v>15</v>
      </c>
      <c r="C21" s="55" t="s">
        <v>46</v>
      </c>
      <c r="D21" s="69"/>
      <c r="E21" s="57">
        <v>0.12</v>
      </c>
      <c r="F21" s="57"/>
      <c r="G21" s="58"/>
      <c r="H21" s="55" t="s">
        <v>39</v>
      </c>
      <c r="I21" s="59">
        <f>P12</f>
        <v>5</v>
      </c>
      <c r="J21" s="30">
        <f>(I21*E21)</f>
        <v>0.6</v>
      </c>
      <c r="K21" s="60" t="s">
        <v>36</v>
      </c>
      <c r="L21" s="23"/>
      <c r="O21" s="61"/>
      <c r="Q21" s="61"/>
    </row>
    <row r="22" spans="2:26" ht="13.8" thickBot="1">
      <c r="B22" s="33" t="s">
        <v>16</v>
      </c>
      <c r="C22" s="34" t="s">
        <v>46</v>
      </c>
      <c r="D22" s="70"/>
      <c r="E22" s="71">
        <v>0.04</v>
      </c>
      <c r="F22" s="71">
        <v>0.04</v>
      </c>
      <c r="G22" s="37"/>
      <c r="H22" s="34" t="s">
        <v>40</v>
      </c>
      <c r="I22" s="72">
        <f>P14/2000</f>
        <v>1.7500000000000002E-2</v>
      </c>
      <c r="J22" s="30">
        <f>I22*E40</f>
        <v>4.375</v>
      </c>
      <c r="K22" s="73" t="s">
        <v>42</v>
      </c>
      <c r="L22" s="23"/>
      <c r="O22" s="61"/>
      <c r="P22" s="23"/>
      <c r="Q22" s="14"/>
      <c r="R22" s="14"/>
      <c r="S22" s="74"/>
      <c r="T22" s="74"/>
      <c r="U22" s="23"/>
      <c r="V22" s="14"/>
      <c r="W22" s="75"/>
      <c r="X22" s="75"/>
      <c r="Y22" s="23"/>
      <c r="Z22" s="23"/>
    </row>
    <row r="23" spans="2:26" ht="13.8" thickBot="1">
      <c r="B23" s="12" t="s">
        <v>9</v>
      </c>
      <c r="C23" s="65"/>
      <c r="D23" s="76"/>
      <c r="E23" s="77">
        <f>SUM(E20:E22)</f>
        <v>0.27999999999999997</v>
      </c>
      <c r="F23" s="77">
        <f>SUM(F20:F22)</f>
        <v>0.16</v>
      </c>
      <c r="G23" s="65"/>
      <c r="H23" s="78"/>
      <c r="I23" s="79"/>
      <c r="J23" s="47">
        <f>SUM(J20:J22)</f>
        <v>16.975000000000001</v>
      </c>
      <c r="K23" s="80"/>
      <c r="L23" s="23"/>
      <c r="O23" s="61"/>
      <c r="Q23" s="61"/>
    </row>
    <row r="24" spans="2:26">
      <c r="B24" s="2" t="s">
        <v>17</v>
      </c>
      <c r="C24" s="81"/>
      <c r="D24" s="21"/>
      <c r="E24" s="20"/>
      <c r="F24" s="20"/>
      <c r="G24" s="20"/>
      <c r="H24" s="49"/>
      <c r="I24" s="53"/>
      <c r="J24" s="53"/>
      <c r="K24" s="22"/>
      <c r="L24" s="23"/>
      <c r="O24" s="82"/>
      <c r="Q24" s="61"/>
    </row>
    <row r="25" spans="2:26">
      <c r="B25" s="54" t="s">
        <v>18</v>
      </c>
      <c r="C25" s="83"/>
      <c r="D25" s="69"/>
      <c r="E25" s="84"/>
      <c r="F25" s="84"/>
      <c r="G25" s="58">
        <f>P20</f>
        <v>20</v>
      </c>
      <c r="H25" s="55" t="s">
        <v>40</v>
      </c>
      <c r="I25" s="59">
        <f>P19</f>
        <v>1.25</v>
      </c>
      <c r="J25" s="31">
        <f>(I25*G25)</f>
        <v>25</v>
      </c>
      <c r="K25" s="60" t="s">
        <v>68</v>
      </c>
      <c r="L25" s="23"/>
    </row>
    <row r="26" spans="2:26">
      <c r="B26" s="54" t="s">
        <v>65</v>
      </c>
      <c r="C26" s="83"/>
      <c r="D26" s="69"/>
      <c r="E26" s="84"/>
      <c r="F26" s="84"/>
      <c r="G26" s="58">
        <f>O28</f>
        <v>15</v>
      </c>
      <c r="H26" s="55" t="s">
        <v>40</v>
      </c>
      <c r="I26" s="59">
        <f>Q28</f>
        <v>1.4</v>
      </c>
      <c r="J26" s="31">
        <f>(I26*G26)</f>
        <v>21</v>
      </c>
      <c r="K26" s="60" t="s">
        <v>43</v>
      </c>
      <c r="L26" s="23"/>
    </row>
    <row r="27" spans="2:26">
      <c r="B27" s="54" t="s">
        <v>66</v>
      </c>
      <c r="C27" s="83"/>
      <c r="D27" s="69"/>
      <c r="E27" s="84"/>
      <c r="F27" s="84"/>
      <c r="G27" s="58">
        <f>O29</f>
        <v>15</v>
      </c>
      <c r="H27" s="55" t="s">
        <v>40</v>
      </c>
      <c r="I27" s="59">
        <f>Q29</f>
        <v>0.95</v>
      </c>
      <c r="J27" s="31">
        <f>(I27*G27)</f>
        <v>14.25</v>
      </c>
      <c r="K27" s="60" t="s">
        <v>67</v>
      </c>
      <c r="L27" s="23"/>
      <c r="O27" s="61" t="s">
        <v>74</v>
      </c>
      <c r="P27" s="61" t="s">
        <v>3</v>
      </c>
      <c r="Q27" s="61" t="s">
        <v>58</v>
      </c>
    </row>
    <row r="28" spans="2:26">
      <c r="B28" s="54" t="s">
        <v>69</v>
      </c>
      <c r="C28" s="83"/>
      <c r="D28" s="56">
        <v>1</v>
      </c>
      <c r="E28" s="84"/>
      <c r="F28" s="84"/>
      <c r="G28" s="58"/>
      <c r="H28" s="55" t="s">
        <v>63</v>
      </c>
      <c r="I28" s="59">
        <f>P16</f>
        <v>1.5</v>
      </c>
      <c r="J28" s="31">
        <f>I28*D28</f>
        <v>1.5</v>
      </c>
      <c r="K28" s="60" t="s">
        <v>70</v>
      </c>
      <c r="L28" s="23"/>
      <c r="N28" s="23" t="s">
        <v>43</v>
      </c>
      <c r="O28" s="61">
        <v>15</v>
      </c>
      <c r="P28" s="24">
        <f>(Q28*O28)</f>
        <v>21</v>
      </c>
      <c r="Q28" s="143">
        <v>1.4</v>
      </c>
    </row>
    <row r="29" spans="2:26" ht="13.8" thickBot="1">
      <c r="B29" s="25" t="s">
        <v>19</v>
      </c>
      <c r="C29" s="85"/>
      <c r="D29" s="86"/>
      <c r="E29" s="87"/>
      <c r="F29" s="87"/>
      <c r="G29" s="87">
        <v>0.05</v>
      </c>
      <c r="H29" s="26" t="s">
        <v>40</v>
      </c>
      <c r="I29" s="30">
        <f>P17</f>
        <v>150</v>
      </c>
      <c r="J29" s="31">
        <f>(I29*G29)</f>
        <v>7.5</v>
      </c>
      <c r="K29" s="32" t="s">
        <v>44</v>
      </c>
      <c r="L29" s="23"/>
      <c r="N29" s="15" t="s">
        <v>156</v>
      </c>
      <c r="O29" s="61">
        <v>15</v>
      </c>
      <c r="P29" s="24">
        <f>(Q29*O29)</f>
        <v>14.25</v>
      </c>
      <c r="Q29" s="143">
        <v>0.95</v>
      </c>
    </row>
    <row r="30" spans="2:26" ht="13.8" thickBot="1">
      <c r="B30" s="40" t="s">
        <v>9</v>
      </c>
      <c r="C30" s="93"/>
      <c r="D30" s="66"/>
      <c r="E30" s="65"/>
      <c r="F30" s="65"/>
      <c r="G30" s="65"/>
      <c r="H30" s="65"/>
      <c r="I30" s="65"/>
      <c r="J30" s="47">
        <f>SUM(J25:J29)</f>
        <v>69.25</v>
      </c>
      <c r="K30" s="48"/>
      <c r="L30" s="23"/>
      <c r="Q30" s="64"/>
    </row>
    <row r="31" spans="2:26" ht="13.8" thickBot="1">
      <c r="B31" s="40" t="s">
        <v>20</v>
      </c>
      <c r="C31" s="94"/>
      <c r="D31" s="66"/>
      <c r="E31" s="65"/>
      <c r="F31" s="65"/>
      <c r="G31" s="65"/>
      <c r="H31" s="65"/>
      <c r="I31" s="65"/>
      <c r="J31" s="47">
        <f>(J12+J18+J23+J30)</f>
        <v>120.075</v>
      </c>
      <c r="K31" s="48"/>
      <c r="L31" s="23"/>
    </row>
    <row r="32" spans="2:26">
      <c r="B32" s="2" t="s">
        <v>21</v>
      </c>
      <c r="C32" s="81"/>
      <c r="D32" s="21"/>
      <c r="E32" s="20"/>
      <c r="F32" s="20"/>
      <c r="G32" s="20"/>
      <c r="H32" s="20"/>
      <c r="I32" s="20"/>
      <c r="J32" s="53"/>
      <c r="K32" s="22"/>
      <c r="L32" s="23"/>
    </row>
    <row r="33" spans="2:12">
      <c r="B33" s="25" t="s">
        <v>22</v>
      </c>
      <c r="C33" s="85"/>
      <c r="D33" s="86"/>
      <c r="E33" s="87"/>
      <c r="F33" s="87"/>
      <c r="G33" s="87"/>
      <c r="H33" s="87"/>
      <c r="I33" s="87"/>
      <c r="J33" s="30">
        <f>J31*0.05</f>
        <v>6.0037500000000001</v>
      </c>
      <c r="K33" s="32"/>
      <c r="L33" s="23"/>
    </row>
    <row r="34" spans="2:12">
      <c r="B34" s="25" t="s">
        <v>23</v>
      </c>
      <c r="C34" s="85"/>
      <c r="D34" s="86"/>
      <c r="E34" s="87"/>
      <c r="F34" s="87"/>
      <c r="G34" s="87"/>
      <c r="H34" s="87"/>
      <c r="I34" s="87"/>
      <c r="J34" s="30">
        <f>P15</f>
        <v>30</v>
      </c>
      <c r="K34" s="32"/>
      <c r="L34" s="23"/>
    </row>
    <row r="35" spans="2:12">
      <c r="B35" s="25" t="s">
        <v>24</v>
      </c>
      <c r="C35" s="85"/>
      <c r="D35" s="86"/>
      <c r="E35" s="87"/>
      <c r="F35" s="87"/>
      <c r="G35" s="87"/>
      <c r="H35" s="87"/>
      <c r="I35" s="87"/>
      <c r="J35" s="30">
        <f>((J31+J33+J34)*0.05)</f>
        <v>7.8039375000000009</v>
      </c>
      <c r="K35" s="32"/>
      <c r="L35" s="23"/>
    </row>
    <row r="36" spans="2:12">
      <c r="B36" s="95" t="s">
        <v>25</v>
      </c>
      <c r="C36" s="83"/>
      <c r="D36" s="96"/>
      <c r="E36" s="97"/>
      <c r="F36" s="97"/>
      <c r="G36" s="97"/>
      <c r="H36" s="97"/>
      <c r="I36" s="97"/>
      <c r="J36" s="98">
        <f>((J31+J33+J34)*0.03)</f>
        <v>4.6823625</v>
      </c>
      <c r="K36" s="73"/>
      <c r="L36" s="23"/>
    </row>
    <row r="37" spans="2:12" ht="13.8" thickBot="1">
      <c r="B37" s="99" t="s">
        <v>9</v>
      </c>
      <c r="C37" s="93"/>
      <c r="D37" s="100"/>
      <c r="E37" s="101"/>
      <c r="F37" s="101"/>
      <c r="G37" s="101"/>
      <c r="H37" s="101"/>
      <c r="I37" s="101"/>
      <c r="J37" s="102">
        <f>SUM(J33:J36)</f>
        <v>48.490049999999997</v>
      </c>
      <c r="K37" s="103"/>
      <c r="L37" s="23"/>
    </row>
    <row r="38" spans="2:12" ht="13.8" thickBot="1">
      <c r="B38" s="1" t="s">
        <v>26</v>
      </c>
      <c r="C38" s="94"/>
      <c r="D38" s="66"/>
      <c r="E38" s="44"/>
      <c r="F38" s="44"/>
      <c r="G38" s="65"/>
      <c r="H38" s="65"/>
      <c r="I38" s="65"/>
      <c r="J38" s="47">
        <f>(J31+J37)</f>
        <v>168.56504999999999</v>
      </c>
      <c r="K38" s="48"/>
      <c r="L38" s="23"/>
    </row>
    <row r="39" spans="2:12" ht="13.8" thickBot="1">
      <c r="B39" s="23"/>
      <c r="C39" s="23"/>
      <c r="D39" s="23"/>
      <c r="E39" s="104"/>
      <c r="F39" s="104"/>
      <c r="G39" s="23"/>
      <c r="H39" s="23"/>
      <c r="I39" s="23"/>
      <c r="J39" s="23"/>
      <c r="K39" s="23"/>
      <c r="L39" s="23"/>
    </row>
    <row r="40" spans="2:12">
      <c r="B40" s="105" t="s">
        <v>27</v>
      </c>
      <c r="C40" s="106" t="s">
        <v>61</v>
      </c>
      <c r="D40" s="50"/>
      <c r="E40" s="107">
        <v>250</v>
      </c>
      <c r="F40" s="50"/>
      <c r="G40" s="108"/>
      <c r="H40" s="108"/>
      <c r="I40" s="108"/>
      <c r="J40" s="108"/>
      <c r="K40" s="22"/>
      <c r="L40" s="23"/>
    </row>
    <row r="41" spans="2:12">
      <c r="B41" s="25" t="s">
        <v>28</v>
      </c>
      <c r="C41" s="109" t="s">
        <v>62</v>
      </c>
      <c r="D41" s="109"/>
      <c r="E41" s="110">
        <v>12</v>
      </c>
      <c r="F41" s="111"/>
      <c r="G41" s="147" t="s">
        <v>190</v>
      </c>
      <c r="H41" s="23"/>
      <c r="I41" s="23"/>
      <c r="J41" s="23"/>
      <c r="K41" s="73"/>
      <c r="L41" s="23"/>
    </row>
    <row r="42" spans="2:12">
      <c r="B42" s="25" t="s">
        <v>29</v>
      </c>
      <c r="C42" s="109" t="s">
        <v>62</v>
      </c>
      <c r="D42" s="109"/>
      <c r="E42" s="110">
        <f>(J38-E41)</f>
        <v>156.56504999999999</v>
      </c>
      <c r="F42" s="111"/>
      <c r="G42" s="112"/>
      <c r="H42" s="112"/>
      <c r="I42" s="112"/>
      <c r="J42" s="112"/>
      <c r="K42" s="32"/>
      <c r="L42" s="23"/>
    </row>
    <row r="43" spans="2:12">
      <c r="B43" s="25" t="s">
        <v>29</v>
      </c>
      <c r="C43" s="109" t="s">
        <v>30</v>
      </c>
      <c r="D43" s="109"/>
      <c r="E43" s="110">
        <f>(E42/E40)</f>
        <v>0.62626019999999993</v>
      </c>
      <c r="F43" s="111"/>
      <c r="G43" s="23"/>
      <c r="H43" s="23"/>
      <c r="I43" s="23"/>
      <c r="J43" s="23"/>
      <c r="K43" s="73"/>
      <c r="L43" s="23"/>
    </row>
    <row r="44" spans="2:12" ht="13.8" thickBot="1">
      <c r="B44" s="99" t="s">
        <v>71</v>
      </c>
      <c r="C44" s="113" t="s">
        <v>30</v>
      </c>
      <c r="D44" s="113"/>
      <c r="E44" s="114">
        <f>E43*1.3</f>
        <v>0.81413825999999989</v>
      </c>
      <c r="F44" s="115"/>
      <c r="G44" s="89"/>
      <c r="H44" s="89"/>
      <c r="I44" s="89"/>
      <c r="J44" s="89"/>
      <c r="K44" s="116"/>
      <c r="L44" s="23"/>
    </row>
    <row r="45" spans="2:12">
      <c r="L45" s="23"/>
    </row>
    <row r="46" spans="2:12">
      <c r="B46" s="15" t="s">
        <v>72</v>
      </c>
      <c r="C46" s="14"/>
      <c r="D46" s="14"/>
      <c r="E46" s="117"/>
      <c r="F46" s="117"/>
      <c r="G46" s="23"/>
      <c r="H46" s="23"/>
      <c r="I46" s="23"/>
      <c r="J46" s="23"/>
      <c r="K46" s="23"/>
      <c r="L46" s="23"/>
    </row>
    <row r="47" spans="2:12">
      <c r="B47" s="15" t="s">
        <v>158</v>
      </c>
      <c r="C47" s="14"/>
      <c r="D47" s="14"/>
      <c r="E47" s="117"/>
      <c r="F47" s="117"/>
      <c r="G47" s="23"/>
      <c r="H47" s="23"/>
      <c r="I47" s="23"/>
      <c r="J47" s="23"/>
      <c r="K47" s="23"/>
      <c r="L47" s="23"/>
    </row>
    <row r="48" spans="2:12">
      <c r="L48" s="23"/>
    </row>
    <row r="49" spans="12:12">
      <c r="L49" s="23"/>
    </row>
    <row r="71" spans="9:10">
      <c r="I71" s="182"/>
      <c r="J71" s="182"/>
    </row>
    <row r="72" spans="9:10">
      <c r="I72" s="173"/>
      <c r="J72" s="173"/>
    </row>
    <row r="73" spans="9:10">
      <c r="I73" s="173"/>
      <c r="J73" s="173"/>
    </row>
    <row r="74" spans="9:10">
      <c r="I74" s="173"/>
      <c r="J74" s="173"/>
    </row>
    <row r="75" spans="9:10">
      <c r="I75" s="173"/>
      <c r="J75" s="173"/>
    </row>
    <row r="76" spans="9:10">
      <c r="I76" s="173"/>
      <c r="J76" s="173"/>
    </row>
    <row r="77" spans="9:10">
      <c r="I77" s="173"/>
      <c r="J77" s="173"/>
    </row>
  </sheetData>
  <customSheetViews>
    <customSheetView guid="{8B6B86C0-2F1B-11D5-9D92-00606708EF55}" scale="75" showRuler="0" topLeftCell="A17">
      <selection activeCell="N45" sqref="N45"/>
      <pageMargins left="0.74803149606299213" right="0.74803149606299213" top="0.19685039370078741" bottom="0.19685039370078741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0">
    <mergeCell ref="I77:J77"/>
    <mergeCell ref="E4:F4"/>
    <mergeCell ref="E3:F3"/>
    <mergeCell ref="C3:D5"/>
    <mergeCell ref="I74:J74"/>
    <mergeCell ref="I75:J75"/>
    <mergeCell ref="I76:J76"/>
    <mergeCell ref="I71:J71"/>
    <mergeCell ref="I72:J72"/>
    <mergeCell ref="I73:J73"/>
  </mergeCells>
  <phoneticPr fontId="2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5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zoomScale="75" workbookViewId="0">
      <selection activeCell="L3" sqref="L3"/>
    </sheetView>
  </sheetViews>
  <sheetFormatPr defaultColWidth="9.109375" defaultRowHeight="13.2"/>
  <cols>
    <col min="1" max="1" width="2.6640625" style="15" customWidth="1"/>
    <col min="2" max="2" width="25.88671875" style="15" customWidth="1"/>
    <col min="3" max="3" width="12.33203125" style="15" customWidth="1"/>
    <col min="4" max="4" width="4.88671875" style="15" customWidth="1"/>
    <col min="5" max="5" width="9.109375" style="15"/>
    <col min="6" max="6" width="10.6640625" style="15" customWidth="1"/>
    <col min="7" max="8" width="9.109375" style="15"/>
    <col min="9" max="9" width="11.33203125" style="15" customWidth="1"/>
    <col min="10" max="10" width="13.44140625" style="15" customWidth="1"/>
    <col min="11" max="11" width="19" style="15" customWidth="1"/>
    <col min="12" max="12" width="8.109375" style="15" customWidth="1"/>
    <col min="13" max="13" width="5.109375" style="15" customWidth="1"/>
    <col min="14" max="14" width="14.88671875" style="15" customWidth="1"/>
    <col min="15" max="15" width="7" style="15" customWidth="1"/>
    <col min="16" max="16" width="11.44140625" style="15" customWidth="1"/>
    <col min="17" max="17" width="12.33203125" style="15" customWidth="1"/>
    <col min="18" max="16384" width="9.109375" style="15"/>
  </cols>
  <sheetData>
    <row r="1" spans="2:17" s="9" customFormat="1">
      <c r="B1" t="s">
        <v>205</v>
      </c>
      <c r="I1"/>
    </row>
    <row r="2" spans="2:17" s="9" customFormat="1" ht="13.8" thickBot="1"/>
    <row r="3" spans="2:17">
      <c r="B3" s="10"/>
      <c r="C3" s="176" t="s">
        <v>50</v>
      </c>
      <c r="D3" s="177"/>
      <c r="E3" s="175" t="s">
        <v>47</v>
      </c>
      <c r="F3" s="175"/>
      <c r="G3" s="11"/>
      <c r="H3" s="12"/>
      <c r="I3" s="11"/>
      <c r="J3" s="11"/>
      <c r="K3" s="13"/>
      <c r="L3" s="14"/>
    </row>
    <row r="4" spans="2:17" ht="13.8" thickBot="1">
      <c r="B4" s="3" t="s">
        <v>45</v>
      </c>
      <c r="C4" s="178"/>
      <c r="D4" s="179"/>
      <c r="E4" s="174" t="s">
        <v>64</v>
      </c>
      <c r="F4" s="174"/>
      <c r="G4" s="4" t="s">
        <v>0</v>
      </c>
      <c r="H4" s="3" t="s">
        <v>1</v>
      </c>
      <c r="I4" s="4" t="s">
        <v>2</v>
      </c>
      <c r="J4" s="4" t="s">
        <v>3</v>
      </c>
      <c r="K4" s="8" t="s">
        <v>4</v>
      </c>
      <c r="L4" s="16"/>
    </row>
    <row r="5" spans="2:17" ht="13.8" thickBot="1">
      <c r="B5" s="17"/>
      <c r="C5" s="180"/>
      <c r="D5" s="181"/>
      <c r="E5" s="6" t="s">
        <v>48</v>
      </c>
      <c r="F5" s="7" t="s">
        <v>49</v>
      </c>
      <c r="G5" s="18"/>
      <c r="H5" s="17"/>
      <c r="I5" s="5" t="s">
        <v>163</v>
      </c>
      <c r="J5" s="5" t="s">
        <v>163</v>
      </c>
      <c r="K5" s="19"/>
      <c r="L5" s="14"/>
    </row>
    <row r="6" spans="2:17">
      <c r="B6" s="2" t="s">
        <v>5</v>
      </c>
      <c r="C6" s="20"/>
      <c r="D6" s="21"/>
      <c r="E6" s="20"/>
      <c r="F6" s="20"/>
      <c r="G6" s="20"/>
      <c r="H6" s="20"/>
      <c r="I6" s="20"/>
      <c r="J6" s="21"/>
      <c r="K6" s="22"/>
      <c r="L6" s="23"/>
      <c r="P6" s="24"/>
    </row>
    <row r="7" spans="2:17">
      <c r="B7" s="25" t="s">
        <v>51</v>
      </c>
      <c r="C7" s="26" t="s">
        <v>54</v>
      </c>
      <c r="D7" s="27">
        <v>1</v>
      </c>
      <c r="E7" s="28">
        <v>0.39</v>
      </c>
      <c r="F7" s="28">
        <v>0.39</v>
      </c>
      <c r="G7" s="29">
        <v>2</v>
      </c>
      <c r="H7" s="26" t="s">
        <v>63</v>
      </c>
      <c r="I7" s="30">
        <f>P11</f>
        <v>4.2</v>
      </c>
      <c r="J7" s="31">
        <f>(G7*I7)+(E7*P12)</f>
        <v>11.13</v>
      </c>
      <c r="K7" s="32" t="s">
        <v>32</v>
      </c>
      <c r="L7" s="23"/>
      <c r="P7" s="24"/>
    </row>
    <row r="8" spans="2:17">
      <c r="B8" s="25" t="s">
        <v>6</v>
      </c>
      <c r="C8" s="26" t="s">
        <v>73</v>
      </c>
      <c r="D8" s="27"/>
      <c r="E8" s="28">
        <v>0.3</v>
      </c>
      <c r="F8" s="28">
        <v>0.3</v>
      </c>
      <c r="G8" s="29">
        <v>1.5</v>
      </c>
      <c r="H8" s="26" t="s">
        <v>63</v>
      </c>
      <c r="I8" s="30">
        <f>P11</f>
        <v>4.2</v>
      </c>
      <c r="J8" s="31">
        <f>(I8*G8)+(P12*E8)</f>
        <v>8.4</v>
      </c>
      <c r="K8" s="32" t="s">
        <v>34</v>
      </c>
      <c r="L8" s="23"/>
      <c r="P8" s="24"/>
    </row>
    <row r="9" spans="2:17">
      <c r="B9" s="25" t="s">
        <v>7</v>
      </c>
      <c r="C9" s="26" t="s">
        <v>73</v>
      </c>
      <c r="D9" s="27">
        <v>1</v>
      </c>
      <c r="E9" s="28">
        <v>0.3</v>
      </c>
      <c r="F9" s="28">
        <v>0.3</v>
      </c>
      <c r="G9" s="29">
        <v>1.5</v>
      </c>
      <c r="H9" s="26" t="s">
        <v>63</v>
      </c>
      <c r="I9" s="30">
        <f>P11</f>
        <v>4.2</v>
      </c>
      <c r="J9" s="31">
        <f>(I9*G9)+(P12*E9)</f>
        <v>8.4</v>
      </c>
      <c r="K9" s="32" t="s">
        <v>33</v>
      </c>
      <c r="L9" s="23"/>
      <c r="P9" s="24"/>
    </row>
    <row r="10" spans="2:17">
      <c r="B10" s="25" t="s">
        <v>8</v>
      </c>
      <c r="C10" s="26" t="s">
        <v>73</v>
      </c>
      <c r="D10" s="27">
        <v>1</v>
      </c>
      <c r="E10" s="28">
        <v>0.2</v>
      </c>
      <c r="F10" s="28">
        <v>0.2</v>
      </c>
      <c r="G10" s="29">
        <v>1</v>
      </c>
      <c r="H10" s="26" t="s">
        <v>63</v>
      </c>
      <c r="I10" s="30">
        <f>P11</f>
        <v>4.2</v>
      </c>
      <c r="J10" s="31">
        <f>(I10*G10)+(P11*E10)</f>
        <v>5.04</v>
      </c>
      <c r="K10" s="32" t="s">
        <v>133</v>
      </c>
      <c r="L10" s="23"/>
      <c r="P10" s="15" t="s">
        <v>160</v>
      </c>
      <c r="Q10" s="15" t="s">
        <v>161</v>
      </c>
    </row>
    <row r="11" spans="2:17" ht="13.8" thickBot="1">
      <c r="B11" s="33" t="s">
        <v>8</v>
      </c>
      <c r="C11" s="34" t="s">
        <v>73</v>
      </c>
      <c r="D11" s="35"/>
      <c r="E11" s="36">
        <v>0.2</v>
      </c>
      <c r="F11" s="36">
        <v>0.2</v>
      </c>
      <c r="G11" s="37"/>
      <c r="H11" s="34" t="s">
        <v>39</v>
      </c>
      <c r="I11" s="38">
        <f>P12</f>
        <v>7</v>
      </c>
      <c r="J11" s="31">
        <f>P12*E11</f>
        <v>1.4000000000000001</v>
      </c>
      <c r="K11" s="39" t="s">
        <v>132</v>
      </c>
      <c r="L11" s="23"/>
      <c r="N11" s="15" t="s">
        <v>77</v>
      </c>
      <c r="P11" s="24">
        <f>'Arpa K'!P11</f>
        <v>4.2</v>
      </c>
      <c r="Q11" s="24">
        <f>'Arpa K'!Q11</f>
        <v>4.03</v>
      </c>
    </row>
    <row r="12" spans="2:17" ht="13.8" thickBot="1">
      <c r="B12" s="40" t="s">
        <v>9</v>
      </c>
      <c r="C12" s="41"/>
      <c r="D12" s="42"/>
      <c r="E12" s="43">
        <f>SUM(E7:E11)</f>
        <v>1.39</v>
      </c>
      <c r="F12" s="44">
        <f>SUM(F7:F11)</f>
        <v>1.39</v>
      </c>
      <c r="G12" s="45"/>
      <c r="H12" s="42"/>
      <c r="I12" s="46"/>
      <c r="J12" s="47">
        <f>SUM(J7:J11)</f>
        <v>34.369999999999997</v>
      </c>
      <c r="K12" s="48"/>
      <c r="L12" s="23"/>
      <c r="N12" t="s">
        <v>164</v>
      </c>
      <c r="P12" s="24">
        <v>7</v>
      </c>
    </row>
    <row r="13" spans="2:17">
      <c r="B13" s="2" t="s">
        <v>10</v>
      </c>
      <c r="C13" s="49"/>
      <c r="D13" s="50"/>
      <c r="E13" s="51"/>
      <c r="F13" s="51"/>
      <c r="G13" s="52"/>
      <c r="H13" s="49"/>
      <c r="I13" s="53"/>
      <c r="J13" s="53"/>
      <c r="K13" s="22"/>
      <c r="L13" s="23"/>
      <c r="N13" t="s">
        <v>165</v>
      </c>
      <c r="P13" s="126">
        <v>5</v>
      </c>
    </row>
    <row r="14" spans="2:17">
      <c r="B14" s="54" t="s">
        <v>11</v>
      </c>
      <c r="C14" s="55" t="s">
        <v>53</v>
      </c>
      <c r="D14" s="56">
        <v>1</v>
      </c>
      <c r="E14" s="57">
        <v>0.2</v>
      </c>
      <c r="F14" s="57">
        <v>0.2</v>
      </c>
      <c r="G14" s="58">
        <v>1.5</v>
      </c>
      <c r="H14" s="55" t="s">
        <v>63</v>
      </c>
      <c r="I14" s="59">
        <f>Q11</f>
        <v>4.03</v>
      </c>
      <c r="J14" s="31">
        <f>(P12*E14)+(G14*I14)</f>
        <v>7.4450000000000003</v>
      </c>
      <c r="K14" s="60" t="s">
        <v>37</v>
      </c>
      <c r="L14" s="23"/>
      <c r="N14" s="15" t="s">
        <v>56</v>
      </c>
      <c r="P14" s="24">
        <v>0</v>
      </c>
    </row>
    <row r="15" spans="2:17">
      <c r="B15" s="25" t="s">
        <v>136</v>
      </c>
      <c r="C15" s="26" t="s">
        <v>53</v>
      </c>
      <c r="D15" s="27">
        <v>1</v>
      </c>
      <c r="E15" s="28">
        <v>10</v>
      </c>
      <c r="F15" s="28"/>
      <c r="G15" s="29"/>
      <c r="H15" s="26" t="s">
        <v>39</v>
      </c>
      <c r="I15" s="30">
        <f>P13</f>
        <v>5</v>
      </c>
      <c r="J15" s="30">
        <f>(I15*E15)</f>
        <v>50</v>
      </c>
      <c r="K15" s="32" t="s">
        <v>88</v>
      </c>
      <c r="L15" s="23"/>
      <c r="N15" s="15" t="s">
        <v>16</v>
      </c>
      <c r="P15" s="24">
        <v>45</v>
      </c>
    </row>
    <row r="16" spans="2:17">
      <c r="B16" s="25" t="s">
        <v>138</v>
      </c>
      <c r="C16" s="26" t="s">
        <v>53</v>
      </c>
      <c r="D16" s="27">
        <v>1</v>
      </c>
      <c r="E16" s="28">
        <v>10</v>
      </c>
      <c r="F16" s="28"/>
      <c r="G16" s="29"/>
      <c r="H16" s="26" t="s">
        <v>39</v>
      </c>
      <c r="I16" s="30">
        <f>P13</f>
        <v>5</v>
      </c>
      <c r="J16" s="30">
        <f>(I16*E16)</f>
        <v>50</v>
      </c>
      <c r="K16" s="32" t="s">
        <v>88</v>
      </c>
      <c r="L16" s="23"/>
      <c r="N16" s="15" t="s">
        <v>23</v>
      </c>
      <c r="P16" s="24">
        <v>50</v>
      </c>
    </row>
    <row r="17" spans="2:26">
      <c r="B17" s="54" t="s">
        <v>12</v>
      </c>
      <c r="C17" s="55" t="s">
        <v>129</v>
      </c>
      <c r="D17" s="56">
        <v>1</v>
      </c>
      <c r="E17" s="57">
        <v>0.09</v>
      </c>
      <c r="F17" s="57">
        <v>0.09</v>
      </c>
      <c r="G17" s="58">
        <v>0.5</v>
      </c>
      <c r="H17" s="55" t="s">
        <v>63</v>
      </c>
      <c r="I17" s="59">
        <f>P12</f>
        <v>7</v>
      </c>
      <c r="J17" s="31">
        <f>(P13*E17)+(G17*I17)</f>
        <v>3.95</v>
      </c>
      <c r="K17" s="60" t="s">
        <v>38</v>
      </c>
      <c r="L17" s="23"/>
      <c r="N17" s="15" t="s">
        <v>69</v>
      </c>
      <c r="O17" s="61"/>
      <c r="P17" s="24">
        <v>1.5</v>
      </c>
      <c r="Q17" s="64"/>
    </row>
    <row r="18" spans="2:26" ht="13.8" thickBot="1">
      <c r="B18" s="25" t="s">
        <v>75</v>
      </c>
      <c r="C18" s="26" t="s">
        <v>55</v>
      </c>
      <c r="D18" s="27">
        <v>2</v>
      </c>
      <c r="E18" s="28">
        <v>0.6</v>
      </c>
      <c r="F18" s="62">
        <v>1.5</v>
      </c>
      <c r="G18" s="118">
        <v>3</v>
      </c>
      <c r="H18" s="26" t="s">
        <v>63</v>
      </c>
      <c r="I18" s="119">
        <f>Q11</f>
        <v>4.03</v>
      </c>
      <c r="J18" s="31">
        <f>I18*(F18*G18)+(E18*P12)</f>
        <v>22.335000000000001</v>
      </c>
      <c r="K18" s="32" t="s">
        <v>76</v>
      </c>
      <c r="N18" s="15" t="s">
        <v>57</v>
      </c>
      <c r="P18" s="24">
        <v>23</v>
      </c>
    </row>
    <row r="19" spans="2:26" ht="13.8" thickBot="1">
      <c r="B19" s="40" t="s">
        <v>9</v>
      </c>
      <c r="C19" s="65"/>
      <c r="D19" s="66"/>
      <c r="E19" s="44">
        <f>SUM(E14:E18)</f>
        <v>20.89</v>
      </c>
      <c r="F19" s="44">
        <f>SUM(F14:F18)</f>
        <v>1.79</v>
      </c>
      <c r="G19" s="67"/>
      <c r="H19" s="41"/>
      <c r="I19" s="68"/>
      <c r="J19" s="47">
        <f>SUM(J14:J18)</f>
        <v>133.72999999999999</v>
      </c>
      <c r="K19" s="48"/>
      <c r="L19" s="23"/>
      <c r="N19" s="15" t="s">
        <v>59</v>
      </c>
      <c r="P19" s="15">
        <v>13</v>
      </c>
    </row>
    <row r="20" spans="2:26">
      <c r="B20" s="2" t="s">
        <v>13</v>
      </c>
      <c r="C20" s="20"/>
      <c r="D20" s="21"/>
      <c r="E20" s="51"/>
      <c r="F20" s="51"/>
      <c r="G20" s="52"/>
      <c r="H20" s="49"/>
      <c r="I20" s="53"/>
      <c r="J20" s="53"/>
      <c r="K20" s="22"/>
      <c r="L20" s="23"/>
      <c r="N20" s="15" t="s">
        <v>79</v>
      </c>
      <c r="P20" s="24">
        <v>5.7</v>
      </c>
    </row>
    <row r="21" spans="2:26">
      <c r="B21" s="54" t="s">
        <v>14</v>
      </c>
      <c r="C21" s="55" t="s">
        <v>139</v>
      </c>
      <c r="D21" s="56">
        <v>1</v>
      </c>
      <c r="E21" s="57">
        <v>16</v>
      </c>
      <c r="F21" s="57">
        <v>0.12</v>
      </c>
      <c r="G21" s="58"/>
      <c r="H21" s="55" t="s">
        <v>63</v>
      </c>
      <c r="I21" s="59">
        <f>P12</f>
        <v>7</v>
      </c>
      <c r="J21" s="31">
        <f>(I21*E21)</f>
        <v>112</v>
      </c>
      <c r="K21" s="60" t="s">
        <v>130</v>
      </c>
      <c r="L21" s="23"/>
      <c r="N21" s="15" t="s">
        <v>80</v>
      </c>
      <c r="P21" s="24">
        <v>0.5</v>
      </c>
      <c r="Q21" s="61"/>
    </row>
    <row r="22" spans="2:26">
      <c r="B22" s="54" t="s">
        <v>140</v>
      </c>
      <c r="C22" s="55" t="s">
        <v>139</v>
      </c>
      <c r="D22" s="56"/>
      <c r="E22" s="57">
        <v>0.6</v>
      </c>
      <c r="F22" s="57"/>
      <c r="G22" s="58"/>
      <c r="H22" s="55" t="s">
        <v>39</v>
      </c>
      <c r="I22" s="59">
        <f>P13</f>
        <v>5</v>
      </c>
      <c r="J22" s="30">
        <f>(I22*E22)</f>
        <v>3</v>
      </c>
      <c r="K22" s="60" t="s">
        <v>100</v>
      </c>
      <c r="L22" s="23"/>
      <c r="O22" s="61"/>
      <c r="P22" s="23"/>
      <c r="Q22" s="14"/>
      <c r="R22" s="14"/>
      <c r="S22" s="74"/>
      <c r="T22" s="74"/>
      <c r="U22" s="23"/>
      <c r="V22" s="14"/>
      <c r="W22" s="75"/>
      <c r="X22" s="75"/>
      <c r="Y22" s="23"/>
      <c r="Z22" s="23"/>
    </row>
    <row r="23" spans="2:26" ht="13.8" thickBot="1">
      <c r="B23" s="33" t="s">
        <v>16</v>
      </c>
      <c r="C23" s="34" t="s">
        <v>139</v>
      </c>
      <c r="D23" s="35"/>
      <c r="E23" s="71">
        <v>0.05</v>
      </c>
      <c r="F23" s="71">
        <v>0.05</v>
      </c>
      <c r="G23" s="37"/>
      <c r="H23" s="34" t="s">
        <v>40</v>
      </c>
      <c r="I23" s="72">
        <f>P16/2000</f>
        <v>2.5000000000000001E-2</v>
      </c>
      <c r="J23" s="30">
        <f>I23*E41</f>
        <v>0</v>
      </c>
      <c r="K23" s="73" t="s">
        <v>42</v>
      </c>
      <c r="L23" s="23"/>
      <c r="O23" s="61"/>
      <c r="Q23" s="61"/>
    </row>
    <row r="24" spans="2:26" ht="13.8" thickBot="1">
      <c r="B24" s="12" t="s">
        <v>9</v>
      </c>
      <c r="C24" s="65"/>
      <c r="D24" s="76"/>
      <c r="E24" s="77">
        <f>SUM(E21:E23)</f>
        <v>16.650000000000002</v>
      </c>
      <c r="F24" s="77">
        <f>SUM(F21:F23)</f>
        <v>0.16999999999999998</v>
      </c>
      <c r="G24" s="65"/>
      <c r="H24" s="78"/>
      <c r="I24" s="79"/>
      <c r="J24" s="47">
        <f>SUM(J21:J23)</f>
        <v>115</v>
      </c>
      <c r="K24" s="80"/>
      <c r="L24" s="23"/>
      <c r="O24" s="82"/>
      <c r="Q24" s="61"/>
    </row>
    <row r="25" spans="2:26">
      <c r="B25" s="2" t="s">
        <v>17</v>
      </c>
      <c r="C25" s="81"/>
      <c r="D25" s="21"/>
      <c r="E25" s="20"/>
      <c r="F25" s="20"/>
      <c r="G25" s="20"/>
      <c r="H25" s="49"/>
      <c r="I25" s="53"/>
      <c r="J25" s="53"/>
      <c r="K25" s="22"/>
      <c r="L25" s="23"/>
    </row>
    <row r="26" spans="2:26">
      <c r="B26" s="54" t="s">
        <v>18</v>
      </c>
      <c r="C26" s="83"/>
      <c r="D26" s="69"/>
      <c r="E26" s="84"/>
      <c r="F26" s="84"/>
      <c r="G26" s="58">
        <f>P21</f>
        <v>0.5</v>
      </c>
      <c r="H26" s="55" t="s">
        <v>40</v>
      </c>
      <c r="I26" s="59">
        <f>P20</f>
        <v>5.7</v>
      </c>
      <c r="J26" s="31">
        <f>(I26*G26)</f>
        <v>2.85</v>
      </c>
      <c r="K26" s="60" t="s">
        <v>68</v>
      </c>
      <c r="L26" s="23"/>
    </row>
    <row r="27" spans="2:26">
      <c r="B27" s="54" t="s">
        <v>65</v>
      </c>
      <c r="C27" s="83"/>
      <c r="D27" s="69"/>
      <c r="E27" s="84"/>
      <c r="F27" s="84"/>
      <c r="G27" s="58">
        <f>O29</f>
        <v>9</v>
      </c>
      <c r="H27" s="55" t="s">
        <v>40</v>
      </c>
      <c r="I27" s="59">
        <f>Q28</f>
        <v>1.4</v>
      </c>
      <c r="J27" s="31">
        <f>(I27*G27)</f>
        <v>12.6</v>
      </c>
      <c r="K27" s="60" t="s">
        <v>43</v>
      </c>
      <c r="L27" s="23"/>
      <c r="O27" s="61" t="s">
        <v>74</v>
      </c>
      <c r="P27" s="61" t="s">
        <v>3</v>
      </c>
      <c r="Q27" s="61" t="s">
        <v>58</v>
      </c>
    </row>
    <row r="28" spans="2:26">
      <c r="B28" s="54" t="s">
        <v>66</v>
      </c>
      <c r="C28" s="83"/>
      <c r="D28" s="69"/>
      <c r="E28" s="84"/>
      <c r="F28" s="84"/>
      <c r="G28" s="58">
        <f>O29</f>
        <v>9</v>
      </c>
      <c r="H28" s="55" t="s">
        <v>40</v>
      </c>
      <c r="I28" s="59">
        <f>Q29</f>
        <v>0.68</v>
      </c>
      <c r="J28" s="31">
        <f>(I28*G28)</f>
        <v>6.12</v>
      </c>
      <c r="K28" s="63" t="s">
        <v>142</v>
      </c>
      <c r="L28" s="23"/>
      <c r="N28" s="23" t="s">
        <v>43</v>
      </c>
      <c r="O28" s="61">
        <v>15</v>
      </c>
      <c r="P28" s="24">
        <f>(Q28*O28)</f>
        <v>21</v>
      </c>
      <c r="Q28" s="64">
        <f>'Buğday K'!Q29</f>
        <v>1.4</v>
      </c>
    </row>
    <row r="29" spans="2:26">
      <c r="B29" s="54" t="s">
        <v>69</v>
      </c>
      <c r="C29" s="83"/>
      <c r="D29" s="56">
        <v>1</v>
      </c>
      <c r="E29" s="84"/>
      <c r="F29" s="84"/>
      <c r="G29" s="58"/>
      <c r="H29" s="55" t="s">
        <v>63</v>
      </c>
      <c r="I29" s="59">
        <f>P17</f>
        <v>1.5</v>
      </c>
      <c r="J29" s="31">
        <f>I29*D29</f>
        <v>1.5</v>
      </c>
      <c r="K29" s="60" t="s">
        <v>70</v>
      </c>
      <c r="L29" s="23"/>
      <c r="N29" s="15" t="s">
        <v>141</v>
      </c>
      <c r="O29" s="61">
        <v>9</v>
      </c>
      <c r="P29" s="24">
        <f>(Q29*O29)</f>
        <v>6.12</v>
      </c>
      <c r="Q29" s="64">
        <v>0.68</v>
      </c>
    </row>
    <row r="30" spans="2:26">
      <c r="B30" s="25" t="s">
        <v>19</v>
      </c>
      <c r="C30" s="85"/>
      <c r="D30" s="86"/>
      <c r="E30" s="87"/>
      <c r="F30" s="87"/>
      <c r="G30" s="87">
        <v>0.1</v>
      </c>
      <c r="H30" s="26" t="s">
        <v>40</v>
      </c>
      <c r="I30" s="30">
        <f>P18</f>
        <v>23</v>
      </c>
      <c r="J30" s="31">
        <f>(I30*G30)</f>
        <v>2.3000000000000003</v>
      </c>
      <c r="K30" s="32" t="s">
        <v>44</v>
      </c>
      <c r="L30" s="23"/>
      <c r="Q30" s="64"/>
    </row>
    <row r="31" spans="2:26" ht="13.8" thickBot="1">
      <c r="B31" s="135" t="s">
        <v>52</v>
      </c>
      <c r="C31" s="136"/>
      <c r="D31" s="35">
        <v>1</v>
      </c>
      <c r="E31" s="127"/>
      <c r="F31" s="127"/>
      <c r="G31" s="127"/>
      <c r="H31" s="34" t="s">
        <v>63</v>
      </c>
      <c r="I31" s="72">
        <f>P19</f>
        <v>13</v>
      </c>
      <c r="J31" s="72">
        <f>P19</f>
        <v>13</v>
      </c>
      <c r="K31" s="39" t="s">
        <v>78</v>
      </c>
      <c r="L31" s="23"/>
    </row>
    <row r="32" spans="2:26" ht="13.8" thickBot="1">
      <c r="B32" s="40" t="s">
        <v>9</v>
      </c>
      <c r="C32" s="93"/>
      <c r="D32" s="66"/>
      <c r="E32" s="65"/>
      <c r="F32" s="65"/>
      <c r="G32" s="65"/>
      <c r="H32" s="65"/>
      <c r="I32" s="65"/>
      <c r="J32" s="47">
        <f>SUM(J26:J31)</f>
        <v>38.370000000000005</v>
      </c>
      <c r="K32" s="48"/>
      <c r="L32" s="23"/>
    </row>
    <row r="33" spans="2:16" ht="13.8" thickBot="1">
      <c r="B33" s="40" t="s">
        <v>20</v>
      </c>
      <c r="C33" s="94"/>
      <c r="D33" s="66"/>
      <c r="E33" s="65"/>
      <c r="F33" s="65"/>
      <c r="G33" s="65"/>
      <c r="H33" s="65"/>
      <c r="I33" s="65"/>
      <c r="J33" s="47">
        <f>(J12+J19+J24+J32)</f>
        <v>321.47000000000003</v>
      </c>
      <c r="K33" s="48"/>
      <c r="L33" s="23"/>
    </row>
    <row r="34" spans="2:16">
      <c r="B34" s="2" t="s">
        <v>21</v>
      </c>
      <c r="C34" s="81"/>
      <c r="D34" s="21"/>
      <c r="E34" s="20"/>
      <c r="F34" s="20"/>
      <c r="G34" s="20"/>
      <c r="H34" s="20"/>
      <c r="I34" s="20"/>
      <c r="J34" s="53"/>
      <c r="K34" s="22"/>
      <c r="L34" s="23"/>
    </row>
    <row r="35" spans="2:16">
      <c r="B35" s="25" t="s">
        <v>22</v>
      </c>
      <c r="C35" s="85"/>
      <c r="D35" s="86"/>
      <c r="E35" s="87"/>
      <c r="F35" s="87"/>
      <c r="G35" s="87"/>
      <c r="H35" s="87"/>
      <c r="I35" s="87"/>
      <c r="J35" s="30">
        <f>J33*0.05</f>
        <v>16.073500000000003</v>
      </c>
      <c r="K35" s="32"/>
      <c r="L35" s="23"/>
    </row>
    <row r="36" spans="2:16">
      <c r="B36" s="25" t="s">
        <v>23</v>
      </c>
      <c r="C36" s="85"/>
      <c r="D36" s="86"/>
      <c r="E36" s="87"/>
      <c r="F36" s="87"/>
      <c r="G36" s="87"/>
      <c r="H36" s="87"/>
      <c r="I36" s="87"/>
      <c r="J36" s="30">
        <v>50</v>
      </c>
      <c r="K36" s="32"/>
      <c r="L36" s="23"/>
      <c r="P36" s="15" t="s">
        <v>60</v>
      </c>
    </row>
    <row r="37" spans="2:16">
      <c r="B37" s="25" t="s">
        <v>24</v>
      </c>
      <c r="C37" s="85"/>
      <c r="D37" s="86"/>
      <c r="E37" s="87"/>
      <c r="F37" s="87"/>
      <c r="G37" s="87"/>
      <c r="H37" s="87"/>
      <c r="I37" s="87"/>
      <c r="J37" s="30">
        <f>((J33+J35+J36)*0.05)</f>
        <v>19.377175000000005</v>
      </c>
      <c r="K37" s="32"/>
      <c r="L37" s="23"/>
    </row>
    <row r="38" spans="2:16">
      <c r="B38" s="95" t="s">
        <v>25</v>
      </c>
      <c r="C38" s="83"/>
      <c r="D38" s="96"/>
      <c r="E38" s="97"/>
      <c r="F38" s="97"/>
      <c r="G38" s="97"/>
      <c r="H38" s="97"/>
      <c r="I38" s="97"/>
      <c r="J38" s="98">
        <f>((J33+J35+J36)*0.03)</f>
        <v>11.626305</v>
      </c>
      <c r="K38" s="73"/>
      <c r="L38" s="23"/>
    </row>
    <row r="39" spans="2:16" ht="13.8" thickBot="1">
      <c r="B39" s="99" t="s">
        <v>9</v>
      </c>
      <c r="C39" s="93"/>
      <c r="D39" s="100"/>
      <c r="E39" s="101"/>
      <c r="F39" s="101"/>
      <c r="G39" s="101"/>
      <c r="H39" s="101"/>
      <c r="I39" s="101"/>
      <c r="J39" s="102">
        <f>SUM(J35:J38)</f>
        <v>97.076980000000006</v>
      </c>
      <c r="K39" s="103"/>
      <c r="L39" s="23"/>
    </row>
    <row r="40" spans="2:16" ht="13.8" thickBot="1">
      <c r="B40" s="1" t="s">
        <v>26</v>
      </c>
      <c r="C40" s="94"/>
      <c r="D40" s="66"/>
      <c r="E40" s="44">
        <v>1.32</v>
      </c>
      <c r="F40" s="44">
        <v>0.81</v>
      </c>
      <c r="G40" s="65"/>
      <c r="H40" s="65"/>
      <c r="I40" s="65"/>
      <c r="J40" s="47">
        <f>(J33+J39)</f>
        <v>418.54698000000002</v>
      </c>
      <c r="K40" s="48"/>
      <c r="L40" s="23"/>
    </row>
    <row r="41" spans="2:16" ht="13.8" thickBot="1">
      <c r="B41" s="23"/>
      <c r="C41" s="23"/>
      <c r="D41" s="23"/>
      <c r="E41" s="104"/>
      <c r="F41" s="104"/>
      <c r="G41" s="23"/>
      <c r="H41" s="23"/>
      <c r="I41" s="23"/>
      <c r="J41" s="23"/>
      <c r="K41" s="23"/>
      <c r="L41" s="23"/>
    </row>
    <row r="42" spans="2:16">
      <c r="B42" s="105" t="s">
        <v>27</v>
      </c>
      <c r="C42" s="106" t="s">
        <v>61</v>
      </c>
      <c r="D42" s="50"/>
      <c r="E42" s="107">
        <v>80</v>
      </c>
      <c r="F42" s="50"/>
      <c r="G42" s="108"/>
      <c r="H42" s="108"/>
      <c r="I42" s="108"/>
      <c r="J42" s="108"/>
      <c r="K42" s="22"/>
      <c r="L42" s="23"/>
    </row>
    <row r="43" spans="2:16">
      <c r="B43" s="25" t="s">
        <v>28</v>
      </c>
      <c r="C43" s="109" t="s">
        <v>62</v>
      </c>
      <c r="D43" s="109"/>
      <c r="E43" s="110">
        <v>270</v>
      </c>
      <c r="F43" s="111"/>
      <c r="G43" s="147" t="s">
        <v>195</v>
      </c>
      <c r="H43" s="23"/>
      <c r="I43" s="23"/>
      <c r="J43" s="23"/>
      <c r="K43" s="73"/>
      <c r="L43" s="23"/>
    </row>
    <row r="44" spans="2:16">
      <c r="B44" s="25" t="s">
        <v>29</v>
      </c>
      <c r="C44" s="109" t="s">
        <v>62</v>
      </c>
      <c r="D44" s="109"/>
      <c r="E44" s="110">
        <f>(J40-E43)</f>
        <v>148.54698000000002</v>
      </c>
      <c r="F44" s="111"/>
      <c r="G44" s="112"/>
      <c r="H44" s="112"/>
      <c r="I44" s="112"/>
      <c r="J44" s="112"/>
      <c r="K44" s="32"/>
      <c r="L44" s="23"/>
    </row>
    <row r="45" spans="2:16">
      <c r="B45" s="25" t="s">
        <v>29</v>
      </c>
      <c r="C45" s="109" t="s">
        <v>30</v>
      </c>
      <c r="D45" s="109"/>
      <c r="E45" s="110">
        <f>(E44/E42)</f>
        <v>1.8568372500000003</v>
      </c>
      <c r="F45" s="111"/>
      <c r="G45" s="23"/>
      <c r="H45" s="23"/>
      <c r="I45" s="23"/>
      <c r="J45" s="23"/>
      <c r="K45" s="73"/>
      <c r="L45" s="23"/>
    </row>
    <row r="46" spans="2:16" ht="13.8" thickBot="1">
      <c r="B46" s="99" t="s">
        <v>71</v>
      </c>
      <c r="C46" s="113" t="s">
        <v>30</v>
      </c>
      <c r="D46" s="113"/>
      <c r="E46" s="114">
        <f>E45*1.3</f>
        <v>2.4138884250000006</v>
      </c>
      <c r="F46" s="115"/>
      <c r="G46" s="89"/>
      <c r="H46" s="89"/>
      <c r="I46" s="89"/>
      <c r="J46" s="89"/>
      <c r="K46" s="116"/>
      <c r="L46" s="23"/>
    </row>
    <row r="47" spans="2:16">
      <c r="B47" s="23"/>
      <c r="C47" s="14"/>
      <c r="D47" s="14"/>
      <c r="E47" s="117"/>
      <c r="F47" s="117"/>
      <c r="G47" s="23"/>
      <c r="H47" s="23"/>
      <c r="I47" s="23"/>
      <c r="J47" s="23"/>
      <c r="K47" s="23"/>
      <c r="L47" s="23"/>
    </row>
    <row r="48" spans="2:16">
      <c r="B48" s="23"/>
      <c r="C48" s="14"/>
      <c r="D48" s="14"/>
      <c r="E48" s="117"/>
      <c r="F48" s="117"/>
      <c r="G48" s="23"/>
      <c r="H48" s="23"/>
      <c r="I48" s="23"/>
      <c r="J48" s="23"/>
      <c r="K48" s="23"/>
      <c r="L48" s="23"/>
    </row>
    <row r="49" spans="2:12">
      <c r="B49" s="15" t="s">
        <v>72</v>
      </c>
      <c r="L49" s="23"/>
    </row>
    <row r="50" spans="2:12">
      <c r="B50" s="15" t="s">
        <v>158</v>
      </c>
    </row>
    <row r="71" spans="9:10">
      <c r="I71" s="182"/>
      <c r="J71" s="182"/>
    </row>
    <row r="72" spans="9:10">
      <c r="I72" s="173"/>
      <c r="J72" s="173"/>
    </row>
    <row r="73" spans="9:10">
      <c r="I73" s="173"/>
      <c r="J73" s="173"/>
    </row>
    <row r="74" spans="9:10">
      <c r="I74" s="173"/>
      <c r="J74" s="173"/>
    </row>
    <row r="75" spans="9:10">
      <c r="I75" s="173"/>
      <c r="J75" s="173"/>
    </row>
    <row r="76" spans="9:10">
      <c r="I76" s="173"/>
      <c r="J76" s="173"/>
    </row>
    <row r="77" spans="9:10">
      <c r="I77" s="173"/>
      <c r="J77" s="173"/>
    </row>
  </sheetData>
  <customSheetViews>
    <customSheetView guid="{8B6B86C0-2F1B-11D5-9D92-00606708EF55}" scale="75" showRuler="0" topLeftCell="A12">
      <selection activeCell="A43" sqref="A43"/>
      <pageMargins left="0.74803149606299213" right="0.74803149606299213" top="0.39370078740157483" bottom="0.39370078740157483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0">
    <mergeCell ref="C3:D5"/>
    <mergeCell ref="E3:F3"/>
    <mergeCell ref="E4:F4"/>
    <mergeCell ref="I75:J75"/>
    <mergeCell ref="I77:J77"/>
    <mergeCell ref="I71:J71"/>
    <mergeCell ref="I72:J72"/>
    <mergeCell ref="I73:J73"/>
    <mergeCell ref="I74:J74"/>
    <mergeCell ref="I76:J76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79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zoomScale="75" workbookViewId="0">
      <selection activeCell="I1" sqref="I1"/>
    </sheetView>
  </sheetViews>
  <sheetFormatPr defaultColWidth="9.109375" defaultRowHeight="13.2"/>
  <cols>
    <col min="1" max="1" width="2.6640625" style="15" customWidth="1"/>
    <col min="2" max="2" width="25.88671875" style="15" customWidth="1"/>
    <col min="3" max="3" width="12.33203125" style="15" customWidth="1"/>
    <col min="4" max="4" width="4.88671875" style="15" customWidth="1"/>
    <col min="5" max="5" width="9.109375" style="15"/>
    <col min="6" max="6" width="10.6640625" style="15" customWidth="1"/>
    <col min="7" max="8" width="9.109375" style="15"/>
    <col min="9" max="9" width="11.33203125" style="15" customWidth="1"/>
    <col min="10" max="10" width="13.44140625" style="15" customWidth="1"/>
    <col min="11" max="11" width="19" style="15" customWidth="1"/>
    <col min="12" max="12" width="8.109375" style="15" customWidth="1"/>
    <col min="13" max="13" width="5.109375" style="15" customWidth="1"/>
    <col min="14" max="14" width="14.88671875" style="15" customWidth="1"/>
    <col min="15" max="15" width="7" style="15" customWidth="1"/>
    <col min="16" max="16" width="11.44140625" style="15" customWidth="1"/>
    <col min="17" max="17" width="12.33203125" style="15" customWidth="1"/>
    <col min="18" max="16384" width="9.109375" style="15"/>
  </cols>
  <sheetData>
    <row r="1" spans="2:16" s="9" customFormat="1">
      <c r="B1" t="s">
        <v>206</v>
      </c>
      <c r="I1"/>
    </row>
    <row r="2" spans="2:16" s="9" customFormat="1" ht="13.8" thickBot="1"/>
    <row r="3" spans="2:16">
      <c r="B3" s="10"/>
      <c r="C3" s="176" t="s">
        <v>50</v>
      </c>
      <c r="D3" s="177"/>
      <c r="E3" s="175" t="s">
        <v>47</v>
      </c>
      <c r="F3" s="175"/>
      <c r="G3" s="11"/>
      <c r="H3" s="12"/>
      <c r="I3" s="11"/>
      <c r="J3" s="11"/>
      <c r="K3" s="13"/>
      <c r="L3" s="14"/>
    </row>
    <row r="4" spans="2:16" ht="13.8" thickBot="1">
      <c r="B4" s="3" t="s">
        <v>45</v>
      </c>
      <c r="C4" s="178"/>
      <c r="D4" s="179"/>
      <c r="E4" s="174" t="s">
        <v>64</v>
      </c>
      <c r="F4" s="174"/>
      <c r="G4" s="4" t="s">
        <v>0</v>
      </c>
      <c r="H4" s="3" t="s">
        <v>1</v>
      </c>
      <c r="I4" s="4" t="s">
        <v>2</v>
      </c>
      <c r="J4" s="4" t="s">
        <v>3</v>
      </c>
      <c r="K4" s="8" t="s">
        <v>4</v>
      </c>
      <c r="L4" s="16"/>
    </row>
    <row r="5" spans="2:16" ht="13.8" thickBot="1">
      <c r="B5" s="17"/>
      <c r="C5" s="180"/>
      <c r="D5" s="181"/>
      <c r="E5" s="6" t="s">
        <v>48</v>
      </c>
      <c r="F5" s="7" t="s">
        <v>49</v>
      </c>
      <c r="G5" s="18"/>
      <c r="H5" s="17"/>
      <c r="I5" s="5" t="s">
        <v>163</v>
      </c>
      <c r="J5" s="5" t="s">
        <v>163</v>
      </c>
      <c r="K5" s="19"/>
      <c r="L5" s="14"/>
    </row>
    <row r="6" spans="2:16">
      <c r="B6" s="2" t="s">
        <v>5</v>
      </c>
      <c r="C6" s="20"/>
      <c r="D6" s="21"/>
      <c r="E6" s="20"/>
      <c r="F6" s="20"/>
      <c r="G6" s="20"/>
      <c r="H6" s="20"/>
      <c r="I6" s="20"/>
      <c r="J6" s="21"/>
      <c r="K6" s="22"/>
      <c r="L6" s="23"/>
      <c r="P6" s="24"/>
    </row>
    <row r="7" spans="2:16">
      <c r="B7" s="25" t="s">
        <v>51</v>
      </c>
      <c r="C7" s="26" t="s">
        <v>73</v>
      </c>
      <c r="D7" s="27">
        <v>1</v>
      </c>
      <c r="E7" s="28">
        <v>0.39</v>
      </c>
      <c r="F7" s="28">
        <v>0.39</v>
      </c>
      <c r="G7" s="29">
        <v>2</v>
      </c>
      <c r="H7" s="26" t="s">
        <v>63</v>
      </c>
      <c r="I7" s="30">
        <f>P11</f>
        <v>4.2</v>
      </c>
      <c r="J7" s="31">
        <f>(G7*I7)+(E7*P12)</f>
        <v>10.350000000000001</v>
      </c>
      <c r="K7" s="32" t="s">
        <v>32</v>
      </c>
      <c r="L7" s="23"/>
      <c r="P7" s="24"/>
    </row>
    <row r="8" spans="2:16">
      <c r="B8" s="25" t="s">
        <v>6</v>
      </c>
      <c r="C8" s="26" t="s">
        <v>73</v>
      </c>
      <c r="D8" s="27">
        <v>1</v>
      </c>
      <c r="E8" s="28">
        <v>0.3</v>
      </c>
      <c r="F8" s="28">
        <v>0.3</v>
      </c>
      <c r="G8" s="29">
        <v>1.5</v>
      </c>
      <c r="H8" s="26" t="s">
        <v>63</v>
      </c>
      <c r="I8" s="30">
        <f>P11</f>
        <v>4.2</v>
      </c>
      <c r="J8" s="31">
        <f>(I8*G8)+(P12*E8)</f>
        <v>7.8000000000000007</v>
      </c>
      <c r="K8" s="32" t="s">
        <v>34</v>
      </c>
      <c r="L8" s="23"/>
      <c r="P8" s="24"/>
    </row>
    <row r="9" spans="2:16">
      <c r="B9" s="25" t="s">
        <v>7</v>
      </c>
      <c r="C9" s="26" t="s">
        <v>73</v>
      </c>
      <c r="D9" s="27">
        <v>1</v>
      </c>
      <c r="E9" s="28">
        <v>0.3</v>
      </c>
      <c r="F9" s="28">
        <v>0.3</v>
      </c>
      <c r="G9" s="29">
        <v>1.5</v>
      </c>
      <c r="H9" s="26" t="s">
        <v>63</v>
      </c>
      <c r="I9" s="30">
        <f>P11</f>
        <v>4.2</v>
      </c>
      <c r="J9" s="31">
        <f>(I9*G9)+(P12*E9)</f>
        <v>7.8000000000000007</v>
      </c>
      <c r="K9" s="32" t="s">
        <v>33</v>
      </c>
      <c r="L9" s="23"/>
      <c r="P9" s="24"/>
    </row>
    <row r="10" spans="2:16">
      <c r="B10" s="25" t="s">
        <v>8</v>
      </c>
      <c r="C10" s="26" t="s">
        <v>73</v>
      </c>
      <c r="D10" s="27">
        <v>1</v>
      </c>
      <c r="E10" s="28">
        <v>0.2</v>
      </c>
      <c r="F10" s="28">
        <v>0.2</v>
      </c>
      <c r="G10" s="29">
        <v>1</v>
      </c>
      <c r="H10" s="26" t="s">
        <v>63</v>
      </c>
      <c r="I10" s="30">
        <f>P11</f>
        <v>4.2</v>
      </c>
      <c r="J10" s="31">
        <f>(I10*G10)+(P11*E10)</f>
        <v>5.04</v>
      </c>
      <c r="K10" s="32" t="s">
        <v>133</v>
      </c>
      <c r="L10" s="23"/>
      <c r="P10" s="15" t="s">
        <v>160</v>
      </c>
    </row>
    <row r="11" spans="2:16" ht="13.8" thickBot="1">
      <c r="B11" s="33" t="s">
        <v>8</v>
      </c>
      <c r="C11" s="34" t="s">
        <v>73</v>
      </c>
      <c r="D11" s="35"/>
      <c r="E11" s="36">
        <v>0.2</v>
      </c>
      <c r="F11" s="36"/>
      <c r="G11" s="37"/>
      <c r="H11" s="34" t="s">
        <v>39</v>
      </c>
      <c r="I11" s="38">
        <f>P12</f>
        <v>5</v>
      </c>
      <c r="J11" s="31">
        <f>P12*E11</f>
        <v>1</v>
      </c>
      <c r="K11" s="39" t="s">
        <v>132</v>
      </c>
      <c r="L11" s="23"/>
      <c r="N11" s="15" t="s">
        <v>77</v>
      </c>
      <c r="P11" s="24">
        <f>'Arpa K'!P11</f>
        <v>4.2</v>
      </c>
    </row>
    <row r="12" spans="2:16" ht="13.8" thickBot="1">
      <c r="B12" s="40" t="s">
        <v>9</v>
      </c>
      <c r="C12" s="41"/>
      <c r="D12" s="42"/>
      <c r="E12" s="43">
        <f>SUM(E7:E11)</f>
        <v>1.39</v>
      </c>
      <c r="F12" s="44">
        <f>SUM(F7:F11)</f>
        <v>1.19</v>
      </c>
      <c r="G12" s="45"/>
      <c r="H12" s="42"/>
      <c r="I12" s="46"/>
      <c r="J12" s="47">
        <f>SUM(J7:J11)</f>
        <v>31.990000000000002</v>
      </c>
      <c r="K12" s="48"/>
      <c r="L12" s="23"/>
      <c r="N12" t="s">
        <v>164</v>
      </c>
      <c r="P12" s="24">
        <v>5</v>
      </c>
    </row>
    <row r="13" spans="2:16">
      <c r="B13" s="2" t="s">
        <v>10</v>
      </c>
      <c r="C13" s="49"/>
      <c r="D13" s="50"/>
      <c r="E13" s="51"/>
      <c r="F13" s="51"/>
      <c r="G13" s="52"/>
      <c r="H13" s="49"/>
      <c r="I13" s="53"/>
      <c r="J13" s="53"/>
      <c r="K13" s="22"/>
      <c r="L13" s="23"/>
      <c r="N13" t="s">
        <v>165</v>
      </c>
      <c r="P13" s="126">
        <v>4</v>
      </c>
    </row>
    <row r="14" spans="2:16">
      <c r="B14" s="54" t="s">
        <v>11</v>
      </c>
      <c r="C14" s="55" t="s">
        <v>53</v>
      </c>
      <c r="D14" s="56">
        <v>1</v>
      </c>
      <c r="E14" s="57">
        <v>0.2</v>
      </c>
      <c r="F14" s="57">
        <v>0.2</v>
      </c>
      <c r="G14" s="58">
        <v>1.5</v>
      </c>
      <c r="H14" s="55" t="s">
        <v>63</v>
      </c>
      <c r="I14" s="59">
        <f>P11</f>
        <v>4.2</v>
      </c>
      <c r="J14" s="31">
        <f>(P12*E14)+(G14*I14)</f>
        <v>7.3000000000000007</v>
      </c>
      <c r="K14" s="60" t="s">
        <v>37</v>
      </c>
      <c r="L14" s="23"/>
      <c r="N14" s="15" t="s">
        <v>56</v>
      </c>
      <c r="P14" s="24">
        <v>0</v>
      </c>
    </row>
    <row r="15" spans="2:16">
      <c r="B15" s="25" t="s">
        <v>136</v>
      </c>
      <c r="C15" s="26" t="s">
        <v>53</v>
      </c>
      <c r="D15" s="27">
        <v>1</v>
      </c>
      <c r="E15" s="28">
        <v>10</v>
      </c>
      <c r="F15" s="28"/>
      <c r="G15" s="29"/>
      <c r="H15" s="26" t="s">
        <v>39</v>
      </c>
      <c r="I15" s="30">
        <f>P13</f>
        <v>4</v>
      </c>
      <c r="J15" s="30">
        <f>(I15*E15)</f>
        <v>40</v>
      </c>
      <c r="K15" s="32" t="s">
        <v>88</v>
      </c>
      <c r="L15" s="23"/>
      <c r="N15" s="15" t="s">
        <v>16</v>
      </c>
      <c r="P15" s="24">
        <v>45</v>
      </c>
    </row>
    <row r="16" spans="2:16">
      <c r="B16" s="25" t="s">
        <v>138</v>
      </c>
      <c r="C16" s="26" t="s">
        <v>53</v>
      </c>
      <c r="D16" s="27">
        <v>1</v>
      </c>
      <c r="E16" s="28">
        <v>10</v>
      </c>
      <c r="F16" s="28"/>
      <c r="G16" s="29"/>
      <c r="H16" s="26" t="s">
        <v>39</v>
      </c>
      <c r="I16" s="30">
        <f>P13</f>
        <v>4</v>
      </c>
      <c r="J16" s="30">
        <f>(I16*E16)</f>
        <v>40</v>
      </c>
      <c r="K16" s="32" t="s">
        <v>88</v>
      </c>
      <c r="L16" s="23"/>
      <c r="N16" s="15" t="s">
        <v>23</v>
      </c>
      <c r="P16" s="24">
        <v>25</v>
      </c>
    </row>
    <row r="17" spans="2:26" ht="13.8" thickBot="1">
      <c r="B17" s="54" t="s">
        <v>12</v>
      </c>
      <c r="C17" s="55" t="s">
        <v>129</v>
      </c>
      <c r="D17" s="56">
        <v>1</v>
      </c>
      <c r="E17" s="57">
        <v>0.09</v>
      </c>
      <c r="F17" s="57">
        <v>0.09</v>
      </c>
      <c r="G17" s="58">
        <v>0.5</v>
      </c>
      <c r="H17" s="55" t="s">
        <v>63</v>
      </c>
      <c r="I17" s="59">
        <f>P12</f>
        <v>5</v>
      </c>
      <c r="J17" s="31">
        <f>(P13*E17)+(G17*I17)</f>
        <v>2.86</v>
      </c>
      <c r="K17" s="60" t="s">
        <v>38</v>
      </c>
      <c r="L17" s="23"/>
      <c r="N17" s="15" t="s">
        <v>69</v>
      </c>
      <c r="O17" s="61"/>
      <c r="P17" s="24">
        <v>1.5</v>
      </c>
      <c r="Q17" s="64"/>
    </row>
    <row r="18" spans="2:26" ht="13.8" thickBot="1">
      <c r="B18" s="40" t="s">
        <v>9</v>
      </c>
      <c r="C18" s="65"/>
      <c r="D18" s="66"/>
      <c r="E18" s="44">
        <f>SUM(E14:E17)</f>
        <v>20.29</v>
      </c>
      <c r="F18" s="44">
        <f>SUM(F14:F17)</f>
        <v>0.29000000000000004</v>
      </c>
      <c r="G18" s="67"/>
      <c r="H18" s="41"/>
      <c r="I18" s="68"/>
      <c r="J18" s="47">
        <f>SUM(J14:J17)</f>
        <v>90.16</v>
      </c>
      <c r="K18" s="48"/>
      <c r="N18" s="15" t="s">
        <v>57</v>
      </c>
      <c r="P18" s="24">
        <v>23</v>
      </c>
    </row>
    <row r="19" spans="2:26">
      <c r="B19" s="2" t="s">
        <v>13</v>
      </c>
      <c r="C19" s="20"/>
      <c r="D19" s="21"/>
      <c r="E19" s="51"/>
      <c r="F19" s="51"/>
      <c r="G19" s="52"/>
      <c r="H19" s="49"/>
      <c r="I19" s="53"/>
      <c r="J19" s="53"/>
      <c r="K19" s="22"/>
      <c r="L19" s="23"/>
      <c r="N19" s="15" t="s">
        <v>59</v>
      </c>
      <c r="P19" s="15">
        <v>0</v>
      </c>
    </row>
    <row r="20" spans="2:26">
      <c r="B20" s="54" t="s">
        <v>14</v>
      </c>
      <c r="C20" s="55" t="s">
        <v>139</v>
      </c>
      <c r="D20" s="56">
        <v>1</v>
      </c>
      <c r="E20" s="57">
        <v>18.45</v>
      </c>
      <c r="F20" s="57">
        <v>0.12</v>
      </c>
      <c r="G20" s="58"/>
      <c r="H20" s="55" t="s">
        <v>63</v>
      </c>
      <c r="I20" s="59">
        <f>P12</f>
        <v>5</v>
      </c>
      <c r="J20" s="31">
        <f>(I20*E20)</f>
        <v>92.25</v>
      </c>
      <c r="K20" s="60" t="s">
        <v>130</v>
      </c>
      <c r="L20" s="23"/>
      <c r="N20" s="15" t="s">
        <v>79</v>
      </c>
      <c r="P20" s="24">
        <v>3</v>
      </c>
    </row>
    <row r="21" spans="2:26">
      <c r="B21" s="54" t="s">
        <v>140</v>
      </c>
      <c r="C21" s="55" t="s">
        <v>139</v>
      </c>
      <c r="D21" s="56"/>
      <c r="E21" s="57">
        <v>0.6</v>
      </c>
      <c r="F21" s="57"/>
      <c r="G21" s="58"/>
      <c r="H21" s="55" t="s">
        <v>39</v>
      </c>
      <c r="I21" s="59">
        <f>P12</f>
        <v>5</v>
      </c>
      <c r="J21" s="30">
        <f>(I21*E21)</f>
        <v>3</v>
      </c>
      <c r="K21" s="60" t="s">
        <v>100</v>
      </c>
      <c r="L21" s="23"/>
      <c r="N21" s="15" t="s">
        <v>80</v>
      </c>
      <c r="P21" s="24">
        <v>0.5</v>
      </c>
      <c r="Q21" s="61"/>
    </row>
    <row r="22" spans="2:26" ht="13.8" thickBot="1">
      <c r="B22" s="33" t="s">
        <v>16</v>
      </c>
      <c r="C22" s="34" t="s">
        <v>139</v>
      </c>
      <c r="D22" s="35"/>
      <c r="E22" s="71">
        <v>0.5</v>
      </c>
      <c r="F22" s="71">
        <v>0.5</v>
      </c>
      <c r="G22" s="37"/>
      <c r="H22" s="34" t="s">
        <v>40</v>
      </c>
      <c r="I22" s="72">
        <f>P15/2000</f>
        <v>2.2499999999999999E-2</v>
      </c>
      <c r="J22" s="30">
        <f>I22*E40</f>
        <v>1.125</v>
      </c>
      <c r="K22" s="73" t="s">
        <v>42</v>
      </c>
      <c r="L22" s="23"/>
      <c r="O22" s="61"/>
      <c r="P22" s="23"/>
      <c r="Q22" s="14"/>
      <c r="R22" s="14"/>
      <c r="S22" s="74"/>
      <c r="T22" s="74"/>
      <c r="U22" s="23"/>
      <c r="V22" s="14"/>
      <c r="W22" s="75"/>
      <c r="X22" s="75"/>
      <c r="Y22" s="23"/>
      <c r="Z22" s="23"/>
    </row>
    <row r="23" spans="2:26" ht="13.8" thickBot="1">
      <c r="B23" s="12" t="s">
        <v>9</v>
      </c>
      <c r="C23" s="65"/>
      <c r="D23" s="76"/>
      <c r="E23" s="77">
        <f>SUM(E20:E22)</f>
        <v>19.55</v>
      </c>
      <c r="F23" s="77">
        <f>SUM(F20:F22)</f>
        <v>0.62</v>
      </c>
      <c r="G23" s="65"/>
      <c r="H23" s="78"/>
      <c r="I23" s="79"/>
      <c r="J23" s="47">
        <f>SUM(J20:J22)</f>
        <v>96.375</v>
      </c>
      <c r="K23" s="80"/>
      <c r="L23" s="23"/>
      <c r="O23" s="61"/>
      <c r="Q23" s="61"/>
    </row>
    <row r="24" spans="2:26">
      <c r="B24" s="2" t="s">
        <v>17</v>
      </c>
      <c r="C24" s="81"/>
      <c r="D24" s="21"/>
      <c r="E24" s="20"/>
      <c r="F24" s="20"/>
      <c r="G24" s="20"/>
      <c r="H24" s="49"/>
      <c r="I24" s="53"/>
      <c r="J24" s="53"/>
      <c r="K24" s="22"/>
      <c r="L24" s="23"/>
      <c r="O24" s="82"/>
      <c r="Q24" s="61"/>
    </row>
    <row r="25" spans="2:26">
      <c r="B25" s="54" t="s">
        <v>18</v>
      </c>
      <c r="C25" s="83"/>
      <c r="D25" s="69"/>
      <c r="E25" s="84"/>
      <c r="F25" s="84"/>
      <c r="G25" s="58">
        <f>P21</f>
        <v>0.5</v>
      </c>
      <c r="H25" s="55" t="s">
        <v>40</v>
      </c>
      <c r="I25" s="59">
        <f>P20</f>
        <v>3</v>
      </c>
      <c r="J25" s="31">
        <f>(I25*G25)</f>
        <v>1.5</v>
      </c>
      <c r="K25" s="60" t="s">
        <v>68</v>
      </c>
      <c r="L25" s="23"/>
      <c r="R25" s="15">
        <v>45</v>
      </c>
    </row>
    <row r="26" spans="2:26">
      <c r="B26" s="54" t="s">
        <v>65</v>
      </c>
      <c r="C26" s="83"/>
      <c r="D26" s="69"/>
      <c r="E26" s="84"/>
      <c r="F26" s="84"/>
      <c r="G26" s="58">
        <f>O28</f>
        <v>10</v>
      </c>
      <c r="H26" s="55" t="s">
        <v>40</v>
      </c>
      <c r="I26" s="59">
        <f>Q28</f>
        <v>1.4</v>
      </c>
      <c r="J26" s="31">
        <f>(I26*G26)</f>
        <v>14</v>
      </c>
      <c r="K26" s="60" t="s">
        <v>43</v>
      </c>
      <c r="L26" s="23"/>
    </row>
    <row r="27" spans="2:26">
      <c r="B27" s="54" t="s">
        <v>66</v>
      </c>
      <c r="C27" s="83"/>
      <c r="D27" s="69"/>
      <c r="E27" s="84"/>
      <c r="F27" s="84"/>
      <c r="G27" s="58">
        <f>O29</f>
        <v>6</v>
      </c>
      <c r="H27" s="55" t="s">
        <v>40</v>
      </c>
      <c r="I27" s="59">
        <f>Q29</f>
        <v>0.68</v>
      </c>
      <c r="J27" s="31">
        <f>(I27*G27)</f>
        <v>4.08</v>
      </c>
      <c r="K27" s="63" t="s">
        <v>142</v>
      </c>
      <c r="L27" s="23"/>
      <c r="O27" s="61" t="s">
        <v>74</v>
      </c>
      <c r="P27" s="61" t="s">
        <v>3</v>
      </c>
      <c r="Q27" s="61" t="s">
        <v>58</v>
      </c>
    </row>
    <row r="28" spans="2:26">
      <c r="B28" s="54" t="s">
        <v>69</v>
      </c>
      <c r="C28" s="83"/>
      <c r="D28" s="56">
        <v>1</v>
      </c>
      <c r="E28" s="84"/>
      <c r="F28" s="84"/>
      <c r="G28" s="58"/>
      <c r="H28" s="55" t="s">
        <v>63</v>
      </c>
      <c r="I28" s="59">
        <f>P17</f>
        <v>1.5</v>
      </c>
      <c r="J28" s="31">
        <f>I28*D28</f>
        <v>1.5</v>
      </c>
      <c r="K28" s="60" t="s">
        <v>70</v>
      </c>
      <c r="L28" s="23"/>
      <c r="N28" s="23" t="s">
        <v>43</v>
      </c>
      <c r="O28" s="61">
        <v>10</v>
      </c>
      <c r="P28" s="24">
        <f>(Q28*O28)</f>
        <v>14</v>
      </c>
      <c r="Q28" s="64">
        <v>1.4</v>
      </c>
    </row>
    <row r="29" spans="2:26" ht="13.8" thickBot="1">
      <c r="B29" s="99" t="s">
        <v>19</v>
      </c>
      <c r="C29" s="133"/>
      <c r="D29" s="90"/>
      <c r="E29" s="91"/>
      <c r="F29" s="91"/>
      <c r="G29" s="91">
        <v>0.1</v>
      </c>
      <c r="H29" s="92" t="s">
        <v>40</v>
      </c>
      <c r="I29" s="38">
        <f>P18</f>
        <v>23</v>
      </c>
      <c r="J29" s="134">
        <f>(I29*G29)</f>
        <v>2.3000000000000003</v>
      </c>
      <c r="K29" s="116" t="s">
        <v>44</v>
      </c>
      <c r="L29" s="23"/>
      <c r="N29" s="15" t="s">
        <v>141</v>
      </c>
      <c r="O29" s="61">
        <v>6</v>
      </c>
      <c r="P29" s="24">
        <f>(Q29*O29)</f>
        <v>4.08</v>
      </c>
      <c r="Q29" s="64">
        <v>0.68</v>
      </c>
    </row>
    <row r="30" spans="2:26" ht="13.8" thickBot="1">
      <c r="B30" s="40" t="s">
        <v>9</v>
      </c>
      <c r="C30" s="93"/>
      <c r="D30" s="66"/>
      <c r="E30" s="65"/>
      <c r="F30" s="65"/>
      <c r="G30" s="65"/>
      <c r="H30" s="65"/>
      <c r="I30" s="65"/>
      <c r="J30" s="47">
        <f>SUM(J25:J29)</f>
        <v>23.38</v>
      </c>
      <c r="K30" s="48"/>
      <c r="L30" s="23"/>
      <c r="Q30" s="64"/>
    </row>
    <row r="31" spans="2:26" ht="13.8" thickBot="1">
      <c r="B31" s="40" t="s">
        <v>20</v>
      </c>
      <c r="C31" s="94"/>
      <c r="D31" s="66"/>
      <c r="E31" s="65"/>
      <c r="F31" s="65"/>
      <c r="G31" s="65"/>
      <c r="H31" s="65"/>
      <c r="I31" s="65"/>
      <c r="J31" s="47">
        <f>(J12+J18+J23+J30)</f>
        <v>241.905</v>
      </c>
      <c r="K31" s="48"/>
      <c r="L31" s="23"/>
    </row>
    <row r="32" spans="2:26">
      <c r="B32" s="2" t="s">
        <v>21</v>
      </c>
      <c r="C32" s="81"/>
      <c r="D32" s="21"/>
      <c r="E32" s="20"/>
      <c r="F32" s="20"/>
      <c r="G32" s="20"/>
      <c r="H32" s="20"/>
      <c r="I32" s="20"/>
      <c r="J32" s="53"/>
      <c r="K32" s="22"/>
      <c r="L32" s="23"/>
    </row>
    <row r="33" spans="2:12">
      <c r="B33" s="25" t="s">
        <v>22</v>
      </c>
      <c r="C33" s="85"/>
      <c r="D33" s="86"/>
      <c r="E33" s="87"/>
      <c r="F33" s="87"/>
      <c r="G33" s="87"/>
      <c r="H33" s="87"/>
      <c r="I33" s="87"/>
      <c r="J33" s="30">
        <f>J31*0.05</f>
        <v>12.09525</v>
      </c>
      <c r="K33" s="32"/>
      <c r="L33" s="23"/>
    </row>
    <row r="34" spans="2:12">
      <c r="B34" s="25" t="s">
        <v>23</v>
      </c>
      <c r="C34" s="85"/>
      <c r="D34" s="86"/>
      <c r="E34" s="87"/>
      <c r="F34" s="87"/>
      <c r="G34" s="87"/>
      <c r="H34" s="87"/>
      <c r="I34" s="87"/>
      <c r="J34" s="30">
        <f>P16</f>
        <v>25</v>
      </c>
      <c r="K34" s="32"/>
      <c r="L34" s="23"/>
    </row>
    <row r="35" spans="2:12">
      <c r="B35" s="25" t="s">
        <v>24</v>
      </c>
      <c r="C35" s="85"/>
      <c r="D35" s="86"/>
      <c r="E35" s="87"/>
      <c r="F35" s="87"/>
      <c r="G35" s="87"/>
      <c r="H35" s="87"/>
      <c r="I35" s="87"/>
      <c r="J35" s="30">
        <f>((J31+J33+J34)*0.05)</f>
        <v>13.9500125</v>
      </c>
      <c r="K35" s="32"/>
      <c r="L35" s="23"/>
    </row>
    <row r="36" spans="2:12">
      <c r="B36" s="95" t="s">
        <v>25</v>
      </c>
      <c r="C36" s="83"/>
      <c r="D36" s="96"/>
      <c r="E36" s="97"/>
      <c r="F36" s="97"/>
      <c r="G36" s="97"/>
      <c r="H36" s="97"/>
      <c r="I36" s="97"/>
      <c r="J36" s="98">
        <f>((J31+J33+J34)*0.03)</f>
        <v>8.3700074999999998</v>
      </c>
      <c r="K36" s="73"/>
      <c r="L36" s="23"/>
    </row>
    <row r="37" spans="2:12" ht="13.8" thickBot="1">
      <c r="B37" s="99" t="s">
        <v>9</v>
      </c>
      <c r="C37" s="93"/>
      <c r="D37" s="100"/>
      <c r="E37" s="101"/>
      <c r="F37" s="101"/>
      <c r="G37" s="101"/>
      <c r="H37" s="101"/>
      <c r="I37" s="101"/>
      <c r="J37" s="102">
        <f>SUM(J33:J36)</f>
        <v>59.41527</v>
      </c>
      <c r="K37" s="103"/>
      <c r="L37" s="23"/>
    </row>
    <row r="38" spans="2:12" ht="13.8" thickBot="1">
      <c r="B38" s="1" t="s">
        <v>26</v>
      </c>
      <c r="C38" s="94"/>
      <c r="D38" s="66"/>
      <c r="E38" s="44"/>
      <c r="F38" s="44"/>
      <c r="G38" s="65"/>
      <c r="H38" s="65"/>
      <c r="I38" s="65"/>
      <c r="J38" s="47">
        <f>(J31+J37)</f>
        <v>301.32026999999999</v>
      </c>
      <c r="K38" s="48"/>
      <c r="L38" s="23"/>
    </row>
    <row r="39" spans="2:12" ht="13.8" thickBot="1">
      <c r="B39" s="23"/>
      <c r="C39" s="23"/>
      <c r="D39" s="23"/>
      <c r="E39" s="104"/>
      <c r="F39" s="104"/>
      <c r="G39" s="23"/>
      <c r="H39" s="23"/>
      <c r="I39" s="23"/>
      <c r="J39" s="23"/>
      <c r="K39" s="23"/>
      <c r="L39" s="23"/>
    </row>
    <row r="40" spans="2:12">
      <c r="B40" s="105" t="s">
        <v>27</v>
      </c>
      <c r="C40" s="106" t="s">
        <v>61</v>
      </c>
      <c r="D40" s="50"/>
      <c r="E40" s="107">
        <v>50</v>
      </c>
      <c r="F40" s="50"/>
      <c r="G40" s="108"/>
      <c r="H40" s="108"/>
      <c r="I40" s="108"/>
      <c r="J40" s="108"/>
      <c r="K40" s="22"/>
      <c r="L40" s="23"/>
    </row>
    <row r="41" spans="2:12">
      <c r="B41" s="25" t="s">
        <v>28</v>
      </c>
      <c r="C41" s="109" t="s">
        <v>62</v>
      </c>
      <c r="D41" s="109"/>
      <c r="E41" s="110">
        <v>180</v>
      </c>
      <c r="F41" s="111"/>
      <c r="G41" s="147" t="s">
        <v>194</v>
      </c>
      <c r="H41" s="23"/>
      <c r="I41" s="23"/>
      <c r="J41" s="23"/>
      <c r="K41" s="73"/>
      <c r="L41" s="23"/>
    </row>
    <row r="42" spans="2:12">
      <c r="B42" s="25" t="s">
        <v>29</v>
      </c>
      <c r="C42" s="109" t="s">
        <v>62</v>
      </c>
      <c r="D42" s="109"/>
      <c r="E42" s="110">
        <f>(J38-E41)</f>
        <v>121.32026999999999</v>
      </c>
      <c r="F42" s="111"/>
      <c r="G42" s="112"/>
      <c r="H42" s="112"/>
      <c r="I42" s="112"/>
      <c r="J42" s="112"/>
      <c r="K42" s="32"/>
      <c r="L42" s="23"/>
    </row>
    <row r="43" spans="2:12">
      <c r="B43" s="25" t="s">
        <v>29</v>
      </c>
      <c r="C43" s="109" t="s">
        <v>30</v>
      </c>
      <c r="D43" s="109"/>
      <c r="E43" s="110">
        <f>(E42/E40)</f>
        <v>2.4264053999999997</v>
      </c>
      <c r="F43" s="111"/>
      <c r="G43" s="23"/>
      <c r="H43" s="23"/>
      <c r="I43" s="23"/>
      <c r="J43" s="23"/>
      <c r="K43" s="73"/>
      <c r="L43" s="23"/>
    </row>
    <row r="44" spans="2:12" ht="13.8" thickBot="1">
      <c r="B44" s="99" t="s">
        <v>71</v>
      </c>
      <c r="C44" s="113" t="s">
        <v>30</v>
      </c>
      <c r="D44" s="113"/>
      <c r="E44" s="114">
        <f>E43*1.3</f>
        <v>3.1543270199999998</v>
      </c>
      <c r="F44" s="115"/>
      <c r="G44" s="89"/>
      <c r="H44" s="89"/>
      <c r="I44" s="89"/>
      <c r="J44" s="89"/>
      <c r="K44" s="116"/>
      <c r="L44" s="23"/>
    </row>
    <row r="45" spans="2:12">
      <c r="L45" s="23"/>
    </row>
    <row r="46" spans="2:12">
      <c r="B46" s="23"/>
      <c r="C46" s="14"/>
      <c r="D46" s="14"/>
      <c r="E46" s="117"/>
      <c r="F46" s="117"/>
      <c r="G46" s="23"/>
      <c r="H46" s="23"/>
      <c r="I46" s="23"/>
      <c r="J46" s="23"/>
      <c r="K46" s="23"/>
      <c r="L46" s="23"/>
    </row>
    <row r="47" spans="2:12">
      <c r="B47" s="15" t="s">
        <v>72</v>
      </c>
      <c r="C47" s="14"/>
      <c r="D47" s="14"/>
      <c r="E47" s="117"/>
      <c r="F47" s="117"/>
      <c r="G47" s="23"/>
      <c r="H47" s="23"/>
      <c r="I47" s="23"/>
      <c r="J47" s="23"/>
      <c r="K47" s="23"/>
      <c r="L47" s="23"/>
    </row>
    <row r="48" spans="2:12">
      <c r="B48" s="15" t="s">
        <v>158</v>
      </c>
      <c r="L48" s="23"/>
    </row>
    <row r="49" spans="12:12">
      <c r="L49" s="23"/>
    </row>
    <row r="71" spans="9:10">
      <c r="I71" s="182"/>
      <c r="J71" s="182"/>
    </row>
    <row r="72" spans="9:10">
      <c r="I72" s="173"/>
      <c r="J72" s="173"/>
    </row>
    <row r="73" spans="9:10">
      <c r="I73" s="173"/>
      <c r="J73" s="173"/>
    </row>
    <row r="74" spans="9:10">
      <c r="I74" s="173"/>
      <c r="J74" s="173"/>
    </row>
    <row r="75" spans="9:10">
      <c r="I75" s="173"/>
      <c r="J75" s="173"/>
    </row>
    <row r="76" spans="9:10">
      <c r="I76" s="173"/>
      <c r="J76" s="173"/>
    </row>
    <row r="77" spans="9:10">
      <c r="I77" s="173"/>
      <c r="J77" s="173"/>
    </row>
  </sheetData>
  <mergeCells count="10">
    <mergeCell ref="C3:D5"/>
    <mergeCell ref="E3:F3"/>
    <mergeCell ref="E4:F4"/>
    <mergeCell ref="I75:J75"/>
    <mergeCell ref="I77:J77"/>
    <mergeCell ref="I71:J71"/>
    <mergeCell ref="I72:J72"/>
    <mergeCell ref="I73:J73"/>
    <mergeCell ref="I74:J74"/>
    <mergeCell ref="I76:J76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tabSelected="1" zoomScale="75" zoomScaleNormal="75" workbookViewId="0">
      <selection activeCell="T8" sqref="T8"/>
    </sheetView>
  </sheetViews>
  <sheetFormatPr defaultRowHeight="13.2"/>
  <cols>
    <col min="1" max="1" width="3.6640625" customWidth="1"/>
    <col min="2" max="2" width="16.44140625" customWidth="1"/>
    <col min="3" max="3" width="12.44140625" customWidth="1"/>
    <col min="4" max="4" width="17.109375" hidden="1" customWidth="1"/>
    <col min="5" max="5" width="14.33203125" hidden="1" customWidth="1"/>
    <col min="6" max="6" width="15" hidden="1" customWidth="1"/>
    <col min="7" max="7" width="17.44140625" hidden="1" customWidth="1"/>
    <col min="8" max="8" width="18.5546875" hidden="1" customWidth="1"/>
    <col min="9" max="9" width="14" customWidth="1"/>
    <col min="10" max="10" width="14.109375" customWidth="1"/>
    <col min="11" max="11" width="13.5546875" customWidth="1"/>
    <col min="12" max="12" width="20.44140625" hidden="1" customWidth="1"/>
    <col min="13" max="13" width="22.5546875" customWidth="1"/>
    <col min="14" max="14" width="17.44140625" customWidth="1"/>
    <col min="15" max="15" width="9.6640625" bestFit="1" customWidth="1"/>
  </cols>
  <sheetData>
    <row r="2" spans="2:15" ht="30" customHeight="1">
      <c r="B2" s="199" t="s">
        <v>207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2:15" ht="14.25" customHeight="1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47"/>
      <c r="N3" s="147"/>
    </row>
    <row r="4" spans="2:15" ht="13.8" thickBot="1">
      <c r="M4" s="168"/>
      <c r="N4" s="168"/>
    </row>
    <row r="5" spans="2:15" ht="30" customHeight="1">
      <c r="B5" s="190" t="s">
        <v>186</v>
      </c>
      <c r="C5" s="184" t="s">
        <v>185</v>
      </c>
      <c r="D5" s="184" t="s">
        <v>184</v>
      </c>
      <c r="E5" s="184" t="s">
        <v>183</v>
      </c>
      <c r="F5" s="184" t="s">
        <v>182</v>
      </c>
      <c r="G5" s="184" t="s">
        <v>181</v>
      </c>
      <c r="H5" s="184" t="s">
        <v>180</v>
      </c>
      <c r="I5" s="184" t="s">
        <v>179</v>
      </c>
      <c r="J5" s="184" t="s">
        <v>178</v>
      </c>
      <c r="K5" s="186" t="s">
        <v>177</v>
      </c>
      <c r="L5" s="188" t="s">
        <v>176</v>
      </c>
      <c r="M5" s="197" t="s">
        <v>175</v>
      </c>
      <c r="N5" s="193" t="s">
        <v>174</v>
      </c>
    </row>
    <row r="6" spans="2:15" ht="30" customHeight="1" thickBot="1">
      <c r="B6" s="191"/>
      <c r="C6" s="185"/>
      <c r="D6" s="185"/>
      <c r="E6" s="185"/>
      <c r="F6" s="185"/>
      <c r="G6" s="185"/>
      <c r="H6" s="185"/>
      <c r="I6" s="185"/>
      <c r="J6" s="185"/>
      <c r="K6" s="187"/>
      <c r="L6" s="189"/>
      <c r="M6" s="198"/>
      <c r="N6" s="194"/>
    </row>
    <row r="7" spans="2:15" ht="30" customHeight="1">
      <c r="B7" s="166" t="s">
        <v>173</v>
      </c>
      <c r="C7" s="165" t="s">
        <v>167</v>
      </c>
      <c r="D7" s="164">
        <v>26.71</v>
      </c>
      <c r="E7" s="164">
        <v>5.25</v>
      </c>
      <c r="F7" s="164">
        <v>16.920000000000002</v>
      </c>
      <c r="G7" s="164">
        <v>66.7</v>
      </c>
      <c r="H7" s="164">
        <v>115.57</v>
      </c>
      <c r="I7" s="164">
        <f>'Arpa K'!E43</f>
        <v>0.62626019999999993</v>
      </c>
      <c r="J7" s="164">
        <f>'Arpa K'!J38</f>
        <v>168.56504999999999</v>
      </c>
      <c r="K7" s="163">
        <f>'Arpa K'!E40</f>
        <v>250</v>
      </c>
      <c r="L7" s="162">
        <v>0.4</v>
      </c>
      <c r="M7" s="156">
        <f>I7*1.3</f>
        <v>0.81413825999999989</v>
      </c>
      <c r="N7" s="195">
        <f>(M7+M8)/2</f>
        <v>0.80024455333333333</v>
      </c>
      <c r="O7" s="167"/>
    </row>
    <row r="8" spans="2:15" ht="30" customHeight="1" thickBot="1">
      <c r="B8" s="161" t="s">
        <v>173</v>
      </c>
      <c r="C8" s="160" t="s">
        <v>166</v>
      </c>
      <c r="D8" s="159">
        <v>26.71</v>
      </c>
      <c r="E8" s="159">
        <v>54.71</v>
      </c>
      <c r="F8" s="159">
        <v>20.420000000000002</v>
      </c>
      <c r="G8" s="159">
        <v>94.6</v>
      </c>
      <c r="H8" s="159">
        <v>196.43</v>
      </c>
      <c r="I8" s="159">
        <f>'Arpa S'!E45</f>
        <v>0.60488526666666664</v>
      </c>
      <c r="J8" s="159">
        <f>'Arpa S'!J40</f>
        <v>296.19837000000001</v>
      </c>
      <c r="K8" s="158">
        <f>'Arpa S'!E42</f>
        <v>450</v>
      </c>
      <c r="L8" s="157">
        <v>0.4</v>
      </c>
      <c r="M8" s="156">
        <f t="shared" ref="M8:M15" si="0">I8*1.3</f>
        <v>0.78635084666666666</v>
      </c>
      <c r="N8" s="196"/>
    </row>
    <row r="9" spans="2:15" ht="30" customHeight="1">
      <c r="B9" s="161" t="s">
        <v>172</v>
      </c>
      <c r="C9" s="160" t="s">
        <v>167</v>
      </c>
      <c r="D9" s="159">
        <v>26.71</v>
      </c>
      <c r="E9" s="159">
        <v>5.25</v>
      </c>
      <c r="F9" s="159">
        <v>16.920000000000002</v>
      </c>
      <c r="G9" s="159">
        <v>72.95</v>
      </c>
      <c r="H9" s="159">
        <v>121.82</v>
      </c>
      <c r="I9" s="159">
        <f>'Buğday K'!E44</f>
        <v>0.60780055555555546</v>
      </c>
      <c r="J9" s="159">
        <f>'Buğday K'!J39</f>
        <v>176.10614999999999</v>
      </c>
      <c r="K9" s="158">
        <f>'Buğday K'!E41</f>
        <v>270</v>
      </c>
      <c r="L9" s="157">
        <v>0.45</v>
      </c>
      <c r="M9" s="156">
        <f t="shared" si="0"/>
        <v>0.79014072222222209</v>
      </c>
      <c r="N9" s="195">
        <f>(M9+M10)/2</f>
        <v>0.76687662711111104</v>
      </c>
    </row>
    <row r="10" spans="2:15" ht="30" customHeight="1" thickBot="1">
      <c r="B10" s="161" t="s">
        <v>172</v>
      </c>
      <c r="C10" s="160" t="s">
        <v>166</v>
      </c>
      <c r="D10" s="159">
        <v>26.71</v>
      </c>
      <c r="E10" s="159">
        <v>54.66</v>
      </c>
      <c r="F10" s="159">
        <v>21.29</v>
      </c>
      <c r="G10" s="159">
        <v>100.85</v>
      </c>
      <c r="H10" s="159">
        <v>203.51</v>
      </c>
      <c r="I10" s="159">
        <f>'Buğday S'!E46</f>
        <v>0.57200963999999999</v>
      </c>
      <c r="J10" s="159">
        <f>'Buğday S'!J41</f>
        <v>310.00482</v>
      </c>
      <c r="K10" s="158">
        <f>'Buğday S'!E43</f>
        <v>500</v>
      </c>
      <c r="L10" s="157">
        <v>0.45</v>
      </c>
      <c r="M10" s="156">
        <f t="shared" si="0"/>
        <v>0.74361253199999999</v>
      </c>
      <c r="N10" s="196"/>
    </row>
    <row r="11" spans="2:15" ht="30" customHeight="1" thickBot="1">
      <c r="B11" s="161" t="s">
        <v>171</v>
      </c>
      <c r="C11" s="160" t="s">
        <v>166</v>
      </c>
      <c r="D11" s="159">
        <v>29.08</v>
      </c>
      <c r="E11" s="159">
        <v>381.38</v>
      </c>
      <c r="F11" s="159">
        <v>113.75</v>
      </c>
      <c r="G11" s="159">
        <v>176.92</v>
      </c>
      <c r="H11" s="159">
        <v>701.13</v>
      </c>
      <c r="I11" s="159">
        <f>Pancar!E47</f>
        <v>0.17056313637236362</v>
      </c>
      <c r="J11" s="159">
        <f>Pancar!J42</f>
        <v>1116.0196023272727</v>
      </c>
      <c r="K11" s="158">
        <f>Pancar!E44</f>
        <v>6250</v>
      </c>
      <c r="L11" s="157">
        <v>0.1</v>
      </c>
      <c r="M11" s="156">
        <f t="shared" si="0"/>
        <v>0.22173207728407271</v>
      </c>
      <c r="N11" s="154">
        <v>0.22</v>
      </c>
    </row>
    <row r="12" spans="2:15" ht="30" customHeight="1" thickBot="1">
      <c r="B12" s="161" t="s">
        <v>170</v>
      </c>
      <c r="C12" s="160" t="s">
        <v>166</v>
      </c>
      <c r="D12" s="159">
        <v>27.41</v>
      </c>
      <c r="E12" s="159">
        <v>73.8</v>
      </c>
      <c r="F12" s="159">
        <v>31.89</v>
      </c>
      <c r="G12" s="159">
        <v>80.3</v>
      </c>
      <c r="H12" s="159">
        <v>213.39</v>
      </c>
      <c r="I12" s="159">
        <f>'Ayçiçeği S'!E47</f>
        <v>1.3032158123076925</v>
      </c>
      <c r="J12" s="159">
        <f>'Ayçiçeği S'!J42</f>
        <v>423.54513900000006</v>
      </c>
      <c r="K12" s="158">
        <f>'Ayçiçeği S'!E44</f>
        <v>325</v>
      </c>
      <c r="L12" s="157">
        <v>0.85</v>
      </c>
      <c r="M12" s="156">
        <f t="shared" si="0"/>
        <v>1.6941805560000003</v>
      </c>
      <c r="N12" s="154">
        <v>1.4</v>
      </c>
      <c r="O12" t="s">
        <v>60</v>
      </c>
    </row>
    <row r="13" spans="2:15" ht="30" customHeight="1" thickBot="1">
      <c r="B13" s="161" t="s">
        <v>169</v>
      </c>
      <c r="C13" s="160" t="s">
        <v>167</v>
      </c>
      <c r="D13" s="159">
        <v>21.51</v>
      </c>
      <c r="E13" s="159">
        <v>5.3</v>
      </c>
      <c r="F13" s="159">
        <v>39.700000000000003</v>
      </c>
      <c r="G13" s="159">
        <v>90.4</v>
      </c>
      <c r="H13" s="159">
        <v>156.91</v>
      </c>
      <c r="I13" s="159">
        <f>'Nohut K'!E42</f>
        <v>2.3632506000000002</v>
      </c>
      <c r="J13" s="159">
        <f>'Nohut K'!J37</f>
        <v>236.32506000000001</v>
      </c>
      <c r="K13" s="158">
        <f>'Nohut K'!E39</f>
        <v>100</v>
      </c>
      <c r="L13" s="157">
        <v>2</v>
      </c>
      <c r="M13" s="156">
        <f t="shared" si="0"/>
        <v>3.0722257800000006</v>
      </c>
      <c r="N13" s="154">
        <v>2.66</v>
      </c>
    </row>
    <row r="14" spans="2:15" ht="30" customHeight="1">
      <c r="B14" s="161" t="s">
        <v>168</v>
      </c>
      <c r="C14" s="160" t="s">
        <v>167</v>
      </c>
      <c r="D14" s="159">
        <v>29.85</v>
      </c>
      <c r="E14" s="159">
        <v>79.39</v>
      </c>
      <c r="F14" s="159">
        <v>86.57</v>
      </c>
      <c r="G14" s="159">
        <v>26.73</v>
      </c>
      <c r="H14" s="159">
        <v>222.53</v>
      </c>
      <c r="I14" s="159">
        <f>'Haşhaş K'!E43</f>
        <v>2.4264053999999997</v>
      </c>
      <c r="J14" s="159">
        <f>'Haşhaş K'!J38</f>
        <v>301.32026999999999</v>
      </c>
      <c r="K14" s="158">
        <f>'Haşhaş K'!E40</f>
        <v>50</v>
      </c>
      <c r="L14" s="157">
        <v>0.45</v>
      </c>
      <c r="M14" s="156">
        <f t="shared" si="0"/>
        <v>3.1543270199999998</v>
      </c>
      <c r="N14" s="195">
        <f>(M14+M15)/2</f>
        <v>2.7841077224999999</v>
      </c>
    </row>
    <row r="15" spans="2:15" ht="30" customHeight="1" thickBot="1">
      <c r="B15" s="155" t="s">
        <v>168</v>
      </c>
      <c r="C15" s="160" t="s">
        <v>166</v>
      </c>
      <c r="D15" s="159">
        <v>32.82</v>
      </c>
      <c r="E15" s="159">
        <v>134.03</v>
      </c>
      <c r="F15" s="159">
        <v>115</v>
      </c>
      <c r="G15" s="159">
        <v>40.17</v>
      </c>
      <c r="H15" s="159">
        <v>322.02</v>
      </c>
      <c r="I15" s="159">
        <f>'Haşhaş S'!E45</f>
        <v>1.8568372500000003</v>
      </c>
      <c r="J15" s="159">
        <f>'Haşhaş S'!J40</f>
        <v>418.54698000000002</v>
      </c>
      <c r="K15" s="158">
        <f>'Haşhaş S'!E42</f>
        <v>80</v>
      </c>
      <c r="L15" s="157">
        <v>0.45</v>
      </c>
      <c r="M15" s="156">
        <f t="shared" si="0"/>
        <v>2.4138884250000006</v>
      </c>
      <c r="N15" s="196"/>
    </row>
    <row r="16" spans="2:15" ht="30" customHeight="1" thickBot="1">
      <c r="B16" s="153"/>
      <c r="C16" s="148"/>
    </row>
    <row r="17" spans="2:12" ht="30" customHeight="1">
      <c r="B17" s="149"/>
      <c r="C17" s="148"/>
    </row>
    <row r="18" spans="2:12" ht="30" customHeight="1">
      <c r="B18" s="149"/>
      <c r="C18" s="148"/>
      <c r="D18" s="152"/>
      <c r="E18" s="152"/>
      <c r="F18" s="152"/>
      <c r="G18" s="152"/>
      <c r="H18" s="152"/>
      <c r="I18" s="152"/>
    </row>
    <row r="19" spans="2:12" ht="30" customHeight="1">
      <c r="B19" s="149"/>
      <c r="C19" s="148"/>
      <c r="D19" s="152"/>
      <c r="E19" s="152"/>
      <c r="F19" s="152"/>
      <c r="G19" s="152"/>
      <c r="H19" s="152"/>
      <c r="I19" s="152"/>
    </row>
    <row r="20" spans="2:12" ht="30" customHeight="1">
      <c r="B20" s="149"/>
      <c r="C20" s="148"/>
      <c r="D20" s="152"/>
      <c r="E20" s="152"/>
      <c r="F20" s="152"/>
      <c r="G20" s="152"/>
      <c r="H20" s="152"/>
      <c r="I20" s="152"/>
    </row>
    <row r="21" spans="2:12" ht="30" customHeight="1">
      <c r="B21" s="149"/>
      <c r="C21" s="148"/>
      <c r="D21" s="152"/>
      <c r="E21" s="152"/>
      <c r="F21" s="152"/>
      <c r="G21" s="152"/>
      <c r="H21" s="152"/>
      <c r="I21" s="152"/>
    </row>
    <row r="22" spans="2:12" ht="30" customHeight="1">
      <c r="B22" s="149"/>
      <c r="C22" s="148"/>
      <c r="D22" s="152"/>
      <c r="E22" s="152"/>
      <c r="F22" s="152"/>
      <c r="G22" s="152"/>
      <c r="H22" s="152"/>
      <c r="I22" s="152"/>
      <c r="J22" s="152"/>
      <c r="K22" s="150"/>
      <c r="L22" s="152"/>
    </row>
    <row r="23" spans="2:12" ht="30" hidden="1" customHeight="1" thickBot="1">
      <c r="B23" s="149"/>
      <c r="C23" s="147"/>
      <c r="D23" s="152"/>
      <c r="E23" s="152"/>
      <c r="F23" s="152"/>
      <c r="G23" s="152"/>
      <c r="H23" s="152"/>
      <c r="I23" s="152"/>
      <c r="J23" s="152"/>
      <c r="K23" s="150"/>
      <c r="L23" s="152"/>
    </row>
    <row r="24" spans="2:12" ht="12.75" customHeight="1">
      <c r="B24" s="149"/>
      <c r="C24" s="147"/>
      <c r="D24" s="152"/>
      <c r="E24" s="152"/>
      <c r="F24" s="152"/>
      <c r="G24" s="152"/>
      <c r="H24" s="152"/>
      <c r="I24" s="152"/>
      <c r="J24" s="152"/>
      <c r="K24" s="150"/>
      <c r="L24" s="152"/>
    </row>
    <row r="25" spans="2:12" ht="13.8">
      <c r="B25" s="149"/>
      <c r="C25" s="147"/>
      <c r="D25" s="152"/>
      <c r="E25" s="152"/>
      <c r="F25" s="152"/>
      <c r="G25" s="152"/>
      <c r="H25" s="152"/>
      <c r="I25" s="152"/>
      <c r="J25" s="152"/>
      <c r="K25" s="150"/>
      <c r="L25" s="152"/>
    </row>
    <row r="26" spans="2:12" ht="13.8">
      <c r="B26" s="147"/>
      <c r="C26" s="147"/>
      <c r="D26" s="152"/>
      <c r="E26" s="152"/>
      <c r="F26" s="152"/>
      <c r="G26" s="152"/>
      <c r="H26" s="152"/>
      <c r="I26" s="152"/>
      <c r="J26" s="152"/>
      <c r="K26" s="150"/>
      <c r="L26" s="152"/>
    </row>
    <row r="27" spans="2:12" ht="13.8">
      <c r="C27" s="170"/>
      <c r="D27" s="152"/>
      <c r="E27" s="152"/>
      <c r="F27" s="152"/>
      <c r="G27" s="152"/>
      <c r="H27" s="152"/>
      <c r="I27" s="152"/>
      <c r="J27" s="152"/>
      <c r="K27" s="150"/>
      <c r="L27" s="152"/>
    </row>
    <row r="28" spans="2:12" ht="13.8">
      <c r="B28" s="147"/>
      <c r="C28" s="151"/>
      <c r="D28" s="147"/>
      <c r="E28" s="147"/>
      <c r="F28" s="147"/>
      <c r="G28" s="147"/>
      <c r="H28" s="147"/>
      <c r="I28" s="147"/>
      <c r="J28" s="152"/>
      <c r="K28" s="150"/>
      <c r="L28" s="152"/>
    </row>
    <row r="29" spans="2:12" ht="13.8">
      <c r="B29" s="147"/>
      <c r="C29" s="147"/>
      <c r="D29" s="147"/>
      <c r="E29" s="147"/>
      <c r="F29" s="147"/>
      <c r="G29" s="147"/>
      <c r="H29" s="147"/>
      <c r="I29" s="147"/>
      <c r="J29" s="152"/>
      <c r="K29" s="150"/>
      <c r="L29" s="152"/>
    </row>
    <row r="30" spans="2:12" ht="13.8">
      <c r="B30" s="170"/>
      <c r="C30" s="183"/>
      <c r="D30" s="147"/>
      <c r="E30" s="147"/>
      <c r="F30" s="147"/>
      <c r="G30" s="147"/>
      <c r="H30" s="147"/>
      <c r="I30" s="147"/>
      <c r="J30" s="152"/>
      <c r="K30" s="150"/>
      <c r="L30" s="152"/>
    </row>
    <row r="31" spans="2:12" ht="13.8">
      <c r="B31" s="151"/>
      <c r="C31" s="183"/>
      <c r="D31" s="147"/>
      <c r="E31" s="147"/>
      <c r="F31" s="147"/>
      <c r="G31" s="147"/>
      <c r="H31" s="147"/>
      <c r="I31" s="147"/>
      <c r="J31" s="152"/>
      <c r="K31" s="150"/>
      <c r="L31" s="152"/>
    </row>
    <row r="32" spans="2:12" ht="13.8">
      <c r="B32" s="147"/>
      <c r="C32" s="148"/>
      <c r="D32" s="170"/>
      <c r="E32" s="170"/>
      <c r="F32" s="170"/>
      <c r="G32" s="170"/>
      <c r="H32" s="170"/>
      <c r="I32" s="170"/>
      <c r="J32" s="152"/>
      <c r="K32" s="150"/>
      <c r="L32" s="152"/>
    </row>
    <row r="33" spans="2:12" ht="13.8">
      <c r="B33" s="183"/>
      <c r="C33" s="148"/>
      <c r="D33" s="151"/>
      <c r="E33" s="151"/>
      <c r="F33" s="151"/>
      <c r="G33" s="151"/>
      <c r="H33" s="151"/>
      <c r="I33" s="151"/>
      <c r="J33" s="147"/>
      <c r="K33" s="147"/>
      <c r="L33" s="147"/>
    </row>
    <row r="34" spans="2:12" ht="13.8">
      <c r="B34" s="183"/>
      <c r="C34" s="148"/>
      <c r="D34" s="147"/>
      <c r="E34" s="147"/>
      <c r="F34" s="147"/>
      <c r="G34" s="147"/>
      <c r="H34" s="147"/>
      <c r="I34" s="147"/>
      <c r="J34" s="147"/>
      <c r="K34" s="147"/>
      <c r="L34" s="147"/>
    </row>
    <row r="35" spans="2:12" ht="13.8">
      <c r="B35" s="149"/>
      <c r="C35" s="148"/>
      <c r="D35" s="183"/>
      <c r="E35" s="183"/>
      <c r="F35" s="183"/>
      <c r="G35" s="183"/>
      <c r="H35" s="183"/>
      <c r="I35" s="183"/>
      <c r="J35" s="147"/>
      <c r="K35" s="147"/>
      <c r="L35" s="147"/>
    </row>
    <row r="36" spans="2:12" ht="13.8">
      <c r="B36" s="149"/>
      <c r="C36" s="148"/>
      <c r="D36" s="183"/>
      <c r="E36" s="183"/>
      <c r="F36" s="183"/>
      <c r="G36" s="183"/>
      <c r="H36" s="183"/>
      <c r="I36" s="183"/>
      <c r="J36" s="147"/>
      <c r="K36" s="147"/>
      <c r="L36" s="147"/>
    </row>
    <row r="37" spans="2:12" ht="13.8">
      <c r="B37" s="149"/>
      <c r="C37" s="148"/>
      <c r="D37" s="148"/>
      <c r="E37" s="148"/>
      <c r="F37" s="148"/>
      <c r="G37" s="148"/>
      <c r="H37" s="148"/>
      <c r="I37" s="148"/>
      <c r="J37" s="170"/>
      <c r="K37" s="170"/>
      <c r="L37" s="170"/>
    </row>
    <row r="38" spans="2:12" ht="13.8">
      <c r="B38" s="149"/>
      <c r="C38" s="148"/>
      <c r="D38" s="148"/>
      <c r="E38" s="148"/>
      <c r="F38" s="148"/>
      <c r="G38" s="148"/>
      <c r="H38" s="148"/>
      <c r="I38" s="148"/>
      <c r="J38" s="151"/>
      <c r="K38" s="151"/>
      <c r="L38" s="151"/>
    </row>
    <row r="39" spans="2:12" ht="13.8">
      <c r="B39" s="149"/>
      <c r="C39" s="148"/>
      <c r="D39" s="148"/>
      <c r="E39" s="148"/>
      <c r="F39" s="148"/>
      <c r="G39" s="148"/>
      <c r="H39" s="148"/>
      <c r="I39" s="148"/>
      <c r="J39" s="147"/>
      <c r="K39" s="147"/>
      <c r="L39" s="147"/>
    </row>
    <row r="40" spans="2:12" ht="13.8">
      <c r="B40" s="149"/>
      <c r="C40" s="148"/>
      <c r="D40" s="148"/>
      <c r="E40" s="148"/>
      <c r="F40" s="148"/>
      <c r="G40" s="148"/>
      <c r="H40" s="148"/>
      <c r="I40" s="148"/>
      <c r="J40" s="183"/>
      <c r="K40" s="183"/>
      <c r="L40" s="192"/>
    </row>
    <row r="41" spans="2:12" ht="12.75" customHeight="1">
      <c r="B41" s="149"/>
      <c r="C41" s="148"/>
      <c r="D41" s="148"/>
      <c r="E41" s="148"/>
      <c r="F41" s="148"/>
      <c r="G41" s="148"/>
      <c r="H41" s="148"/>
      <c r="I41" s="148"/>
      <c r="J41" s="183"/>
      <c r="K41" s="183"/>
      <c r="L41" s="192"/>
    </row>
    <row r="42" spans="2:12" ht="13.8">
      <c r="B42" s="149"/>
      <c r="D42" s="148"/>
      <c r="E42" s="148"/>
      <c r="F42" s="148"/>
      <c r="G42" s="148"/>
      <c r="H42" s="148"/>
      <c r="I42" s="148"/>
      <c r="J42" s="148"/>
      <c r="K42" s="148"/>
      <c r="L42" s="148"/>
    </row>
    <row r="43" spans="2:12" ht="13.8">
      <c r="B43" s="149"/>
      <c r="D43" s="148"/>
      <c r="E43" s="148"/>
      <c r="F43" s="148"/>
      <c r="G43" s="148"/>
      <c r="H43" s="148"/>
      <c r="I43" s="148"/>
      <c r="J43" s="148"/>
      <c r="K43" s="148"/>
      <c r="L43" s="148"/>
    </row>
    <row r="44" spans="2:12" ht="13.8">
      <c r="B44" s="149"/>
      <c r="D44" s="148"/>
      <c r="E44" s="148"/>
      <c r="F44" s="148"/>
      <c r="G44" s="148"/>
      <c r="H44" s="148"/>
      <c r="I44" s="148"/>
      <c r="J44" s="148"/>
      <c r="K44" s="148"/>
      <c r="L44" s="148"/>
    </row>
    <row r="45" spans="2:12" ht="13.8">
      <c r="D45" s="148"/>
      <c r="E45" s="148"/>
      <c r="F45" s="148"/>
      <c r="G45" s="148"/>
      <c r="H45" s="148"/>
      <c r="I45" s="148"/>
      <c r="J45" s="148"/>
      <c r="K45" s="148"/>
      <c r="L45" s="148"/>
    </row>
    <row r="46" spans="2:12" ht="13.8">
      <c r="D46" s="148"/>
      <c r="E46" s="148"/>
      <c r="F46" s="148"/>
      <c r="G46" s="148"/>
      <c r="H46" s="148"/>
      <c r="I46" s="148"/>
      <c r="J46" s="148"/>
      <c r="K46" s="150"/>
      <c r="L46" s="148"/>
    </row>
    <row r="47" spans="2:12" ht="13.8">
      <c r="J47" s="148"/>
      <c r="K47" s="148"/>
      <c r="L47" s="148"/>
    </row>
    <row r="48" spans="2:12" ht="13.8">
      <c r="J48" s="148"/>
      <c r="K48" s="148"/>
      <c r="L48" s="148"/>
    </row>
    <row r="49" spans="10:12" ht="13.8">
      <c r="J49" s="148"/>
      <c r="K49" s="148"/>
      <c r="L49" s="148"/>
    </row>
    <row r="50" spans="10:12" ht="13.8">
      <c r="J50" s="148"/>
      <c r="K50" s="148"/>
      <c r="L50" s="148"/>
    </row>
    <row r="51" spans="10:12" ht="13.8">
      <c r="J51" s="148"/>
      <c r="K51" s="148"/>
      <c r="L51" s="148"/>
    </row>
  </sheetData>
  <mergeCells count="28">
    <mergeCell ref="K40:K41"/>
    <mergeCell ref="J40:J41"/>
    <mergeCell ref="L40:L41"/>
    <mergeCell ref="N5:N6"/>
    <mergeCell ref="N7:N8"/>
    <mergeCell ref="N9:N10"/>
    <mergeCell ref="N14:N15"/>
    <mergeCell ref="M5:M6"/>
    <mergeCell ref="J5:J6"/>
    <mergeCell ref="D35:D36"/>
    <mergeCell ref="E35:E36"/>
    <mergeCell ref="F35:F36"/>
    <mergeCell ref="G35:G36"/>
    <mergeCell ref="I5:I6"/>
    <mergeCell ref="H35:H36"/>
    <mergeCell ref="I35:I36"/>
    <mergeCell ref="H5:H6"/>
    <mergeCell ref="B33:B34"/>
    <mergeCell ref="C30:C31"/>
    <mergeCell ref="D5:D6"/>
    <mergeCell ref="K5:K6"/>
    <mergeCell ref="L5:L6"/>
    <mergeCell ref="F5:F6"/>
    <mergeCell ref="E5:E6"/>
    <mergeCell ref="B5:B6"/>
    <mergeCell ref="C5:C6"/>
    <mergeCell ref="G5:G6"/>
    <mergeCell ref="B2:N2"/>
  </mergeCells>
  <phoneticPr fontId="2" type="noConversion"/>
  <printOptions horizontalCentered="1" verticalCentered="1"/>
  <pageMargins left="0" right="0" top="0.98425196850393704" bottom="0.98425196850393704" header="0" footer="0"/>
  <pageSetup paperSize="9" scale="7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zoomScale="75" workbookViewId="0">
      <selection activeCell="I1" sqref="I1"/>
    </sheetView>
  </sheetViews>
  <sheetFormatPr defaultColWidth="9.109375" defaultRowHeight="13.2"/>
  <cols>
    <col min="1" max="1" width="2.6640625" style="15" customWidth="1"/>
    <col min="2" max="2" width="25.88671875" style="15" customWidth="1"/>
    <col min="3" max="3" width="12.33203125" style="15" customWidth="1"/>
    <col min="4" max="4" width="4.88671875" style="15" customWidth="1"/>
    <col min="5" max="5" width="9.88671875" style="15" bestFit="1" customWidth="1"/>
    <col min="6" max="6" width="10.6640625" style="15" customWidth="1"/>
    <col min="7" max="8" width="9.109375" style="15"/>
    <col min="9" max="9" width="11.33203125" style="15" customWidth="1"/>
    <col min="10" max="10" width="13.44140625" style="15" customWidth="1"/>
    <col min="11" max="11" width="19" style="15" customWidth="1"/>
    <col min="12" max="12" width="8.109375" style="15" customWidth="1"/>
    <col min="13" max="13" width="5.109375" style="15" customWidth="1"/>
    <col min="14" max="14" width="14.88671875" style="15" customWidth="1"/>
    <col min="15" max="15" width="7" style="15" customWidth="1"/>
    <col min="16" max="16" width="11.44140625" style="15" customWidth="1"/>
    <col min="17" max="17" width="12.33203125" style="15" customWidth="1"/>
    <col min="18" max="16384" width="9.109375" style="15"/>
  </cols>
  <sheetData>
    <row r="1" spans="2:17" s="9" customFormat="1">
      <c r="B1" t="s">
        <v>162</v>
      </c>
      <c r="I1" t="s">
        <v>197</v>
      </c>
    </row>
    <row r="2" spans="2:17" s="9" customFormat="1" ht="13.8" thickBot="1"/>
    <row r="3" spans="2:17">
      <c r="B3" s="10"/>
      <c r="C3" s="176" t="s">
        <v>50</v>
      </c>
      <c r="D3" s="177"/>
      <c r="E3" s="175" t="s">
        <v>47</v>
      </c>
      <c r="F3" s="175"/>
      <c r="G3" s="11"/>
      <c r="H3" s="12"/>
      <c r="I3" s="11"/>
      <c r="J3" s="11"/>
      <c r="K3" s="13"/>
      <c r="L3" s="14"/>
    </row>
    <row r="4" spans="2:17" ht="13.8" thickBot="1">
      <c r="B4" s="3" t="s">
        <v>45</v>
      </c>
      <c r="C4" s="178"/>
      <c r="D4" s="179"/>
      <c r="E4" s="174" t="s">
        <v>64</v>
      </c>
      <c r="F4" s="174"/>
      <c r="G4" s="4" t="s">
        <v>0</v>
      </c>
      <c r="H4" s="3" t="s">
        <v>1</v>
      </c>
      <c r="I4" s="4" t="s">
        <v>2</v>
      </c>
      <c r="J4" s="4" t="s">
        <v>3</v>
      </c>
      <c r="K4" s="8" t="s">
        <v>4</v>
      </c>
      <c r="L4" s="16"/>
    </row>
    <row r="5" spans="2:17" ht="13.8" thickBot="1">
      <c r="B5" s="17"/>
      <c r="C5" s="180"/>
      <c r="D5" s="181"/>
      <c r="E5" s="6" t="s">
        <v>48</v>
      </c>
      <c r="F5" s="7" t="s">
        <v>49</v>
      </c>
      <c r="G5" s="18"/>
      <c r="H5" s="17"/>
      <c r="I5" s="5" t="s">
        <v>163</v>
      </c>
      <c r="J5" s="5" t="s">
        <v>163</v>
      </c>
      <c r="K5" s="19"/>
      <c r="L5" s="14"/>
    </row>
    <row r="6" spans="2:17">
      <c r="B6" s="2" t="s">
        <v>5</v>
      </c>
      <c r="C6" s="20"/>
      <c r="D6" s="21"/>
      <c r="E6" s="20"/>
      <c r="F6" s="20"/>
      <c r="G6" s="20"/>
      <c r="H6" s="20"/>
      <c r="I6" s="20"/>
      <c r="J6" s="21"/>
      <c r="K6" s="22"/>
      <c r="L6" s="23"/>
      <c r="P6" s="24"/>
    </row>
    <row r="7" spans="2:17">
      <c r="B7" s="25" t="s">
        <v>51</v>
      </c>
      <c r="C7" s="26" t="s">
        <v>54</v>
      </c>
      <c r="D7" s="27">
        <v>1</v>
      </c>
      <c r="E7" s="28">
        <v>0.24</v>
      </c>
      <c r="F7" s="28">
        <v>0.24</v>
      </c>
      <c r="G7" s="29">
        <v>2</v>
      </c>
      <c r="H7" s="26" t="s">
        <v>63</v>
      </c>
      <c r="I7" s="30">
        <f>P11</f>
        <v>4.2</v>
      </c>
      <c r="J7" s="31">
        <f>(G7*I7)+(E7*P12)</f>
        <v>9.6</v>
      </c>
      <c r="K7" s="145" t="s">
        <v>32</v>
      </c>
      <c r="L7" s="23"/>
      <c r="P7" s="24"/>
    </row>
    <row r="8" spans="2:17">
      <c r="B8" s="25" t="s">
        <v>6</v>
      </c>
      <c r="C8" s="26" t="s">
        <v>73</v>
      </c>
      <c r="D8" s="27"/>
      <c r="E8" s="28">
        <v>0.12</v>
      </c>
      <c r="F8" s="28">
        <v>0.12</v>
      </c>
      <c r="G8" s="29">
        <v>1.5</v>
      </c>
      <c r="H8" s="26" t="s">
        <v>63</v>
      </c>
      <c r="I8" s="30">
        <f>P11</f>
        <v>4.2</v>
      </c>
      <c r="J8" s="31">
        <f>(I8*G8)+(P12*E8)</f>
        <v>6.9</v>
      </c>
      <c r="K8" s="32" t="s">
        <v>34</v>
      </c>
      <c r="L8" s="23"/>
      <c r="P8" s="24"/>
    </row>
    <row r="9" spans="2:17">
      <c r="B9" s="25" t="s">
        <v>7</v>
      </c>
      <c r="C9" s="26" t="s">
        <v>73</v>
      </c>
      <c r="D9" s="27">
        <v>1</v>
      </c>
      <c r="E9" s="28">
        <v>0.12</v>
      </c>
      <c r="F9" s="28">
        <v>0.12</v>
      </c>
      <c r="G9" s="29">
        <v>1.5</v>
      </c>
      <c r="H9" s="26" t="s">
        <v>63</v>
      </c>
      <c r="I9" s="30">
        <f>P11</f>
        <v>4.2</v>
      </c>
      <c r="J9" s="31">
        <f>(I9*G9)+(P12*E9)</f>
        <v>6.9</v>
      </c>
      <c r="K9" s="32" t="s">
        <v>33</v>
      </c>
      <c r="L9" s="23"/>
      <c r="P9" s="24"/>
    </row>
    <row r="10" spans="2:17">
      <c r="B10" s="25" t="s">
        <v>8</v>
      </c>
      <c r="C10" s="26" t="s">
        <v>73</v>
      </c>
      <c r="D10" s="27">
        <v>1</v>
      </c>
      <c r="E10" s="28">
        <v>0.1</v>
      </c>
      <c r="F10" s="28">
        <v>0.1</v>
      </c>
      <c r="G10" s="29">
        <v>1</v>
      </c>
      <c r="H10" s="26" t="s">
        <v>63</v>
      </c>
      <c r="I10" s="30">
        <f>P11</f>
        <v>4.2</v>
      </c>
      <c r="J10" s="31">
        <f>(I10*G10)+(P11*E10)</f>
        <v>4.62</v>
      </c>
      <c r="K10" s="32" t="s">
        <v>133</v>
      </c>
      <c r="L10" s="23"/>
      <c r="P10" s="15" t="s">
        <v>160</v>
      </c>
      <c r="Q10" s="15" t="s">
        <v>161</v>
      </c>
    </row>
    <row r="11" spans="2:17" ht="13.8" thickBot="1">
      <c r="B11" s="33" t="s">
        <v>8</v>
      </c>
      <c r="C11" s="34" t="s">
        <v>73</v>
      </c>
      <c r="D11" s="35"/>
      <c r="E11" s="36">
        <v>0.1</v>
      </c>
      <c r="F11" s="36"/>
      <c r="G11" s="37"/>
      <c r="H11" s="34" t="s">
        <v>39</v>
      </c>
      <c r="I11" s="38">
        <f>P12</f>
        <v>5</v>
      </c>
      <c r="J11" s="31">
        <f>P12*E11</f>
        <v>0.5</v>
      </c>
      <c r="K11" s="39" t="s">
        <v>132</v>
      </c>
      <c r="L11" s="23"/>
      <c r="N11" s="15" t="s">
        <v>77</v>
      </c>
      <c r="P11" s="24">
        <f>'Arpa K'!P11</f>
        <v>4.2</v>
      </c>
      <c r="Q11" s="24">
        <f>'Arpa K'!Q11</f>
        <v>4.03</v>
      </c>
    </row>
    <row r="12" spans="2:17" ht="13.8" thickBot="1">
      <c r="B12" s="40" t="s">
        <v>9</v>
      </c>
      <c r="C12" s="41"/>
      <c r="D12" s="42"/>
      <c r="E12" s="43">
        <f>SUM(E7:E11)</f>
        <v>0.67999999999999994</v>
      </c>
      <c r="F12" s="44">
        <f>SUM(F7:F11)</f>
        <v>0.57999999999999996</v>
      </c>
      <c r="G12" s="45"/>
      <c r="H12" s="42"/>
      <c r="I12" s="46"/>
      <c r="J12" s="47">
        <f>SUM(J7:J11)</f>
        <v>28.52</v>
      </c>
      <c r="K12" s="48"/>
      <c r="L12" s="23"/>
      <c r="N12" t="s">
        <v>164</v>
      </c>
      <c r="P12" s="24">
        <f>'Arpa K'!P12</f>
        <v>5</v>
      </c>
    </row>
    <row r="13" spans="2:17">
      <c r="B13" s="2" t="s">
        <v>10</v>
      </c>
      <c r="C13" s="49"/>
      <c r="D13" s="50"/>
      <c r="E13" s="51"/>
      <c r="F13" s="51"/>
      <c r="G13" s="52"/>
      <c r="H13" s="49"/>
      <c r="I13" s="53"/>
      <c r="J13" s="53"/>
      <c r="K13" s="22"/>
      <c r="L13" s="23"/>
      <c r="N13" s="15" t="s">
        <v>56</v>
      </c>
      <c r="P13" s="24">
        <f>'Arpa K'!P13</f>
        <v>12</v>
      </c>
    </row>
    <row r="14" spans="2:17">
      <c r="B14" s="54" t="s">
        <v>11</v>
      </c>
      <c r="C14" s="55" t="s">
        <v>53</v>
      </c>
      <c r="D14" s="56">
        <v>1</v>
      </c>
      <c r="E14" s="57">
        <v>0.09</v>
      </c>
      <c r="F14" s="57">
        <v>0.09</v>
      </c>
      <c r="G14" s="58">
        <v>0.5</v>
      </c>
      <c r="H14" s="55" t="s">
        <v>63</v>
      </c>
      <c r="I14" s="59">
        <f>Q11</f>
        <v>4.03</v>
      </c>
      <c r="J14" s="31">
        <f>(P12*E14)+(G14*I14)</f>
        <v>2.4649999999999999</v>
      </c>
      <c r="K14" s="60" t="s">
        <v>37</v>
      </c>
      <c r="L14" s="23"/>
      <c r="N14" s="15" t="s">
        <v>16</v>
      </c>
      <c r="P14" s="24">
        <f>'Arpa K'!P14</f>
        <v>35</v>
      </c>
    </row>
    <row r="15" spans="2:17">
      <c r="B15" s="25" t="s">
        <v>11</v>
      </c>
      <c r="C15" s="26" t="s">
        <v>53</v>
      </c>
      <c r="D15" s="27"/>
      <c r="E15" s="28">
        <v>0.09</v>
      </c>
      <c r="F15" s="28"/>
      <c r="G15" s="29"/>
      <c r="H15" s="26" t="s">
        <v>39</v>
      </c>
      <c r="I15" s="30">
        <f>P12</f>
        <v>5</v>
      </c>
      <c r="J15" s="30">
        <f>I15*E15</f>
        <v>0.44999999999999996</v>
      </c>
      <c r="K15" s="32" t="s">
        <v>36</v>
      </c>
      <c r="L15" s="23"/>
      <c r="N15" s="15" t="s">
        <v>23</v>
      </c>
      <c r="P15" s="24">
        <v>60</v>
      </c>
    </row>
    <row r="16" spans="2:17">
      <c r="B16" s="54" t="s">
        <v>12</v>
      </c>
      <c r="C16" s="55" t="s">
        <v>31</v>
      </c>
      <c r="D16" s="56">
        <v>1</v>
      </c>
      <c r="E16" s="57">
        <v>0.09</v>
      </c>
      <c r="F16" s="57">
        <v>0.09</v>
      </c>
      <c r="G16" s="58">
        <v>0.5</v>
      </c>
      <c r="H16" s="55" t="s">
        <v>63</v>
      </c>
      <c r="I16" s="30">
        <f>Q11</f>
        <v>4.03</v>
      </c>
      <c r="J16" s="31">
        <f>(G16*I16)</f>
        <v>2.0150000000000001</v>
      </c>
      <c r="K16" s="60" t="s">
        <v>38</v>
      </c>
      <c r="L16" s="23"/>
      <c r="N16" s="15" t="s">
        <v>69</v>
      </c>
      <c r="O16" s="61"/>
      <c r="P16" s="24">
        <f>'Arpa K'!P16</f>
        <v>1.5</v>
      </c>
    </row>
    <row r="17" spans="2:26">
      <c r="B17" s="25" t="s">
        <v>12</v>
      </c>
      <c r="C17" s="26" t="s">
        <v>31</v>
      </c>
      <c r="D17" s="27"/>
      <c r="E17" s="28">
        <v>0.09</v>
      </c>
      <c r="F17" s="62"/>
      <c r="G17" s="29"/>
      <c r="H17" s="26" t="s">
        <v>39</v>
      </c>
      <c r="I17" s="30">
        <f>P12</f>
        <v>5</v>
      </c>
      <c r="J17" s="31">
        <f>(I17*E17)</f>
        <v>0.44999999999999996</v>
      </c>
      <c r="K17" s="63" t="s">
        <v>36</v>
      </c>
      <c r="L17" s="23"/>
      <c r="N17" s="15" t="s">
        <v>57</v>
      </c>
      <c r="P17" s="24">
        <f>'Arpa K'!P17</f>
        <v>150</v>
      </c>
      <c r="Q17" s="64"/>
    </row>
    <row r="18" spans="2:26" ht="13.8" thickBot="1">
      <c r="B18" s="25" t="s">
        <v>75</v>
      </c>
      <c r="C18" s="26" t="s">
        <v>55</v>
      </c>
      <c r="D18" s="27">
        <v>2</v>
      </c>
      <c r="E18" s="28">
        <v>2.77</v>
      </c>
      <c r="F18" s="62">
        <v>1.5</v>
      </c>
      <c r="G18" s="118">
        <v>3</v>
      </c>
      <c r="H18" s="26" t="s">
        <v>63</v>
      </c>
      <c r="I18" s="30">
        <f>Q11</f>
        <v>4.03</v>
      </c>
      <c r="J18" s="31">
        <f>D18*((I18*G18)+(E18*P12))</f>
        <v>51.879999999999995</v>
      </c>
      <c r="K18" s="32" t="s">
        <v>76</v>
      </c>
      <c r="N18" s="15" t="s">
        <v>59</v>
      </c>
      <c r="P18" s="24">
        <f>'Arpa K'!P18</f>
        <v>16.8</v>
      </c>
    </row>
    <row r="19" spans="2:26" ht="13.8" thickBot="1">
      <c r="B19" s="40" t="s">
        <v>9</v>
      </c>
      <c r="C19" s="65"/>
      <c r="D19" s="66"/>
      <c r="E19" s="44">
        <f>SUM(E14:E18)</f>
        <v>3.13</v>
      </c>
      <c r="F19" s="44">
        <f>SUM(F14:F18)</f>
        <v>1.68</v>
      </c>
      <c r="G19" s="67"/>
      <c r="H19" s="41"/>
      <c r="I19" s="68"/>
      <c r="J19" s="47">
        <f>SUM(J14:J18)</f>
        <v>57.26</v>
      </c>
      <c r="K19" s="48"/>
      <c r="L19" s="23"/>
      <c r="N19" s="15" t="s">
        <v>79</v>
      </c>
      <c r="P19" s="24">
        <f>'Arpa K'!P19</f>
        <v>1.25</v>
      </c>
    </row>
    <row r="20" spans="2:26">
      <c r="B20" s="2" t="s">
        <v>13</v>
      </c>
      <c r="C20" s="20"/>
      <c r="D20" s="21"/>
      <c r="E20" s="51"/>
      <c r="F20" s="51"/>
      <c r="G20" s="52"/>
      <c r="H20" s="49"/>
      <c r="I20" s="53"/>
      <c r="J20" s="53"/>
      <c r="K20" s="22"/>
      <c r="L20" s="23"/>
      <c r="N20" s="15" t="s">
        <v>80</v>
      </c>
      <c r="P20" s="24">
        <f>'Arpa K'!P20</f>
        <v>20</v>
      </c>
    </row>
    <row r="21" spans="2:26">
      <c r="B21" s="54" t="s">
        <v>14</v>
      </c>
      <c r="C21" s="55" t="s">
        <v>46</v>
      </c>
      <c r="D21" s="56">
        <v>1</v>
      </c>
      <c r="E21" s="57">
        <v>0.12</v>
      </c>
      <c r="F21" s="57">
        <v>0.12</v>
      </c>
      <c r="G21" s="58"/>
      <c r="H21" s="55" t="s">
        <v>63</v>
      </c>
      <c r="I21" s="59">
        <f>P13</f>
        <v>12</v>
      </c>
      <c r="J21" s="31">
        <f>(I21*D21)</f>
        <v>12</v>
      </c>
      <c r="K21" s="60" t="s">
        <v>41</v>
      </c>
      <c r="L21" s="23"/>
      <c r="O21" s="61"/>
      <c r="Q21" s="61"/>
    </row>
    <row r="22" spans="2:26">
      <c r="B22" s="54" t="s">
        <v>15</v>
      </c>
      <c r="C22" s="55" t="s">
        <v>46</v>
      </c>
      <c r="D22" s="69"/>
      <c r="E22" s="57">
        <v>0.12</v>
      </c>
      <c r="F22" s="57"/>
      <c r="G22" s="58"/>
      <c r="H22" s="55" t="s">
        <v>39</v>
      </c>
      <c r="I22" s="59">
        <f>P12</f>
        <v>5</v>
      </c>
      <c r="J22" s="30">
        <f>(I22*E22)</f>
        <v>0.6</v>
      </c>
      <c r="K22" s="60" t="s">
        <v>36</v>
      </c>
      <c r="L22" s="23"/>
      <c r="O22" s="61"/>
      <c r="P22" s="23"/>
      <c r="Q22" s="14"/>
      <c r="R22" s="14"/>
      <c r="S22" s="74"/>
      <c r="T22" s="74"/>
      <c r="U22" s="23"/>
      <c r="V22" s="14"/>
      <c r="W22" s="75"/>
      <c r="X22" s="75"/>
      <c r="Y22" s="23"/>
      <c r="Z22" s="23"/>
    </row>
    <row r="23" spans="2:26" ht="13.8" thickBot="1">
      <c r="B23" s="33" t="s">
        <v>16</v>
      </c>
      <c r="C23" s="34" t="s">
        <v>46</v>
      </c>
      <c r="D23" s="70"/>
      <c r="E23" s="71">
        <v>0.05</v>
      </c>
      <c r="F23" s="71">
        <v>0.05</v>
      </c>
      <c r="G23" s="37"/>
      <c r="H23" s="34" t="s">
        <v>40</v>
      </c>
      <c r="I23" s="72">
        <f>P14/2000</f>
        <v>1.7500000000000002E-2</v>
      </c>
      <c r="J23" s="30">
        <f>I23*E42</f>
        <v>7.8750000000000009</v>
      </c>
      <c r="K23" s="73" t="s">
        <v>42</v>
      </c>
      <c r="L23" s="23"/>
      <c r="O23" s="61"/>
      <c r="Q23" s="61"/>
    </row>
    <row r="24" spans="2:26" ht="13.8" thickBot="1">
      <c r="B24" s="12" t="s">
        <v>9</v>
      </c>
      <c r="C24" s="65"/>
      <c r="D24" s="76"/>
      <c r="E24" s="77">
        <f>SUM(E21:E23)</f>
        <v>0.28999999999999998</v>
      </c>
      <c r="F24" s="77">
        <f>SUM(F21:F23)</f>
        <v>0.16999999999999998</v>
      </c>
      <c r="G24" s="65"/>
      <c r="H24" s="78"/>
      <c r="I24" s="79"/>
      <c r="J24" s="47">
        <f>SUM(J21:J23)</f>
        <v>20.475000000000001</v>
      </c>
      <c r="K24" s="80"/>
      <c r="L24" s="23"/>
      <c r="O24" s="82"/>
      <c r="Q24" s="61"/>
    </row>
    <row r="25" spans="2:26">
      <c r="B25" s="2" t="s">
        <v>17</v>
      </c>
      <c r="C25" s="81"/>
      <c r="D25" s="21"/>
      <c r="E25" s="20"/>
      <c r="F25" s="20"/>
      <c r="G25" s="20"/>
      <c r="H25" s="49"/>
      <c r="I25" s="53"/>
      <c r="J25" s="53"/>
      <c r="K25" s="22"/>
      <c r="L25" s="23"/>
    </row>
    <row r="26" spans="2:26">
      <c r="B26" s="54" t="s">
        <v>18</v>
      </c>
      <c r="C26" s="83"/>
      <c r="D26" s="69"/>
      <c r="E26" s="84"/>
      <c r="F26" s="84"/>
      <c r="G26" s="58">
        <f>P20</f>
        <v>20</v>
      </c>
      <c r="H26" s="55" t="s">
        <v>40</v>
      </c>
      <c r="I26" s="59">
        <f>P19</f>
        <v>1.25</v>
      </c>
      <c r="J26" s="31">
        <f>(I26*G26)</f>
        <v>25</v>
      </c>
      <c r="K26" s="60" t="s">
        <v>68</v>
      </c>
      <c r="L26" s="23"/>
    </row>
    <row r="27" spans="2:26">
      <c r="B27" s="54" t="s">
        <v>65</v>
      </c>
      <c r="C27" s="83"/>
      <c r="D27" s="69"/>
      <c r="E27" s="84"/>
      <c r="F27" s="84"/>
      <c r="G27" s="58">
        <f>O28</f>
        <v>20</v>
      </c>
      <c r="H27" s="55" t="s">
        <v>40</v>
      </c>
      <c r="I27" s="59">
        <f>Q28</f>
        <v>1.4</v>
      </c>
      <c r="J27" s="31">
        <f>(I27*G27)</f>
        <v>28</v>
      </c>
      <c r="K27" s="60" t="s">
        <v>43</v>
      </c>
      <c r="L27" s="23"/>
      <c r="O27" s="61" t="s">
        <v>74</v>
      </c>
      <c r="P27" s="61" t="s">
        <v>3</v>
      </c>
      <c r="Q27" s="61" t="s">
        <v>58</v>
      </c>
    </row>
    <row r="28" spans="2:26">
      <c r="B28" s="54" t="s">
        <v>66</v>
      </c>
      <c r="C28" s="83"/>
      <c r="D28" s="69"/>
      <c r="E28" s="84"/>
      <c r="F28" s="84"/>
      <c r="G28" s="58">
        <f>O29</f>
        <v>20</v>
      </c>
      <c r="H28" s="55" t="s">
        <v>40</v>
      </c>
      <c r="I28" s="59">
        <f>Q29</f>
        <v>0.95</v>
      </c>
      <c r="J28" s="31">
        <f>(I28*G28)</f>
        <v>19</v>
      </c>
      <c r="K28" s="60" t="s">
        <v>67</v>
      </c>
      <c r="L28" s="23"/>
      <c r="N28" s="23" t="s">
        <v>43</v>
      </c>
      <c r="O28" s="61">
        <v>20</v>
      </c>
      <c r="P28" s="24">
        <f>(Q28*O28)</f>
        <v>28</v>
      </c>
      <c r="Q28" s="64">
        <f>'Arpa K'!Q28</f>
        <v>1.4</v>
      </c>
    </row>
    <row r="29" spans="2:26">
      <c r="B29" s="54" t="s">
        <v>69</v>
      </c>
      <c r="C29" s="83"/>
      <c r="D29" s="56">
        <v>1</v>
      </c>
      <c r="E29" s="84"/>
      <c r="F29" s="84"/>
      <c r="G29" s="58"/>
      <c r="H29" s="55" t="s">
        <v>63</v>
      </c>
      <c r="I29" s="59">
        <f>P16</f>
        <v>1.5</v>
      </c>
      <c r="J29" s="31">
        <f>P16</f>
        <v>1.5</v>
      </c>
      <c r="K29" s="60" t="s">
        <v>70</v>
      </c>
      <c r="L29" s="23"/>
      <c r="N29" s="15" t="s">
        <v>156</v>
      </c>
      <c r="O29" s="61">
        <v>20</v>
      </c>
      <c r="P29" s="24">
        <f>(Q29*O29)</f>
        <v>19</v>
      </c>
      <c r="Q29" s="64">
        <f>'Arpa K'!Q29</f>
        <v>0.95</v>
      </c>
    </row>
    <row r="30" spans="2:26">
      <c r="B30" s="25" t="s">
        <v>19</v>
      </c>
      <c r="C30" s="85"/>
      <c r="D30" s="86"/>
      <c r="E30" s="87"/>
      <c r="F30" s="87"/>
      <c r="G30" s="87">
        <v>0.05</v>
      </c>
      <c r="H30" s="26" t="s">
        <v>40</v>
      </c>
      <c r="I30" s="30">
        <f>P17</f>
        <v>150</v>
      </c>
      <c r="J30" s="31">
        <f>(I30*G30)</f>
        <v>7.5</v>
      </c>
      <c r="K30" s="32" t="s">
        <v>44</v>
      </c>
      <c r="L30" s="23"/>
      <c r="Q30" s="64"/>
    </row>
    <row r="31" spans="2:26" ht="13.8" thickBot="1">
      <c r="B31" s="88" t="s">
        <v>52</v>
      </c>
      <c r="C31" s="89"/>
      <c r="D31" s="140">
        <v>1</v>
      </c>
      <c r="E31" s="91"/>
      <c r="F31" s="91"/>
      <c r="G31" s="91"/>
      <c r="H31" s="92" t="s">
        <v>63</v>
      </c>
      <c r="I31" s="38">
        <f>P18</f>
        <v>16.8</v>
      </c>
      <c r="J31" s="72">
        <f>P18</f>
        <v>16.8</v>
      </c>
      <c r="K31" s="39" t="s">
        <v>78</v>
      </c>
      <c r="L31" s="23"/>
    </row>
    <row r="32" spans="2:26" ht="13.8" thickBot="1">
      <c r="B32" s="40" t="s">
        <v>9</v>
      </c>
      <c r="C32" s="93"/>
      <c r="D32" s="66"/>
      <c r="E32" s="65"/>
      <c r="F32" s="65"/>
      <c r="G32" s="65"/>
      <c r="H32" s="65"/>
      <c r="I32" s="65"/>
      <c r="J32" s="47">
        <f>SUM(J26:J31)</f>
        <v>97.8</v>
      </c>
      <c r="K32" s="48"/>
      <c r="L32" s="23"/>
    </row>
    <row r="33" spans="2:12" ht="13.8" thickBot="1">
      <c r="B33" s="40" t="s">
        <v>20</v>
      </c>
      <c r="C33" s="94"/>
      <c r="D33" s="66"/>
      <c r="E33" s="65"/>
      <c r="F33" s="65"/>
      <c r="G33" s="65"/>
      <c r="H33" s="65"/>
      <c r="I33" s="65"/>
      <c r="J33" s="47">
        <f>(J12+J19+J24+J32)</f>
        <v>204.05500000000001</v>
      </c>
      <c r="K33" s="48"/>
      <c r="L33" s="23"/>
    </row>
    <row r="34" spans="2:12">
      <c r="B34" s="2" t="s">
        <v>21</v>
      </c>
      <c r="C34" s="81"/>
      <c r="D34" s="21"/>
      <c r="E34" s="20"/>
      <c r="F34" s="20"/>
      <c r="G34" s="20"/>
      <c r="H34" s="20"/>
      <c r="I34" s="20"/>
      <c r="J34" s="53"/>
      <c r="K34" s="22"/>
      <c r="L34" s="23"/>
    </row>
    <row r="35" spans="2:12">
      <c r="B35" s="25" t="s">
        <v>22</v>
      </c>
      <c r="C35" s="85"/>
      <c r="D35" s="86"/>
      <c r="E35" s="87"/>
      <c r="F35" s="87"/>
      <c r="G35" s="87"/>
      <c r="H35" s="87"/>
      <c r="I35" s="87"/>
      <c r="J35" s="30">
        <f>J33*0.05</f>
        <v>10.202750000000002</v>
      </c>
      <c r="K35" s="32"/>
      <c r="L35" s="23"/>
    </row>
    <row r="36" spans="2:12">
      <c r="B36" s="25" t="s">
        <v>23</v>
      </c>
      <c r="C36" s="85"/>
      <c r="D36" s="86"/>
      <c r="E36" s="87"/>
      <c r="F36" s="87"/>
      <c r="G36" s="87"/>
      <c r="H36" s="87"/>
      <c r="I36" s="87"/>
      <c r="J36" s="30">
        <f>P15</f>
        <v>60</v>
      </c>
      <c r="K36" s="32"/>
      <c r="L36" s="23"/>
    </row>
    <row r="37" spans="2:12">
      <c r="B37" s="25" t="s">
        <v>24</v>
      </c>
      <c r="C37" s="85"/>
      <c r="D37" s="86"/>
      <c r="E37" s="87"/>
      <c r="F37" s="87"/>
      <c r="G37" s="87"/>
      <c r="H37" s="87"/>
      <c r="I37" s="87"/>
      <c r="J37" s="30">
        <f>((J33+J35+J36)*0.05)</f>
        <v>13.712887500000001</v>
      </c>
      <c r="K37" s="32"/>
      <c r="L37" s="23"/>
    </row>
    <row r="38" spans="2:12">
      <c r="B38" s="95" t="s">
        <v>25</v>
      </c>
      <c r="C38" s="83"/>
      <c r="D38" s="96"/>
      <c r="E38" s="97"/>
      <c r="F38" s="97"/>
      <c r="G38" s="97"/>
      <c r="H38" s="97"/>
      <c r="I38" s="97"/>
      <c r="J38" s="98">
        <f>((J33+J35+J36)*0.03)</f>
        <v>8.2277325000000001</v>
      </c>
      <c r="K38" s="73"/>
      <c r="L38" s="23"/>
    </row>
    <row r="39" spans="2:12" ht="13.8" thickBot="1">
      <c r="B39" s="99" t="s">
        <v>9</v>
      </c>
      <c r="C39" s="93"/>
      <c r="D39" s="100"/>
      <c r="E39" s="101"/>
      <c r="F39" s="101"/>
      <c r="G39" s="101"/>
      <c r="H39" s="101"/>
      <c r="I39" s="101"/>
      <c r="J39" s="102">
        <f>SUM(J35:J38)</f>
        <v>92.143370000000004</v>
      </c>
      <c r="K39" s="103"/>
      <c r="L39" s="23"/>
    </row>
    <row r="40" spans="2:12" ht="13.8" thickBot="1">
      <c r="B40" s="1" t="s">
        <v>26</v>
      </c>
      <c r="C40" s="94"/>
      <c r="D40" s="66"/>
      <c r="E40" s="44">
        <v>1.32</v>
      </c>
      <c r="F40" s="44">
        <v>0.81</v>
      </c>
      <c r="G40" s="65"/>
      <c r="H40" s="65"/>
      <c r="I40" s="65"/>
      <c r="J40" s="47">
        <f>(J33+J39)</f>
        <v>296.19837000000001</v>
      </c>
      <c r="K40" s="48"/>
      <c r="L40" s="23"/>
    </row>
    <row r="41" spans="2:12" ht="13.8" thickBot="1">
      <c r="B41" s="23"/>
      <c r="C41" s="23"/>
      <c r="D41" s="23"/>
      <c r="E41" s="104"/>
      <c r="F41" s="104"/>
      <c r="G41" s="23"/>
      <c r="H41" s="23"/>
      <c r="I41" s="23"/>
      <c r="J41" s="23"/>
      <c r="K41" s="23"/>
      <c r="L41" s="23"/>
    </row>
    <row r="42" spans="2:12">
      <c r="B42" s="105" t="s">
        <v>27</v>
      </c>
      <c r="C42" s="106" t="s">
        <v>61</v>
      </c>
      <c r="D42" s="50"/>
      <c r="E42" s="107">
        <v>450</v>
      </c>
      <c r="F42" s="50"/>
      <c r="G42" s="108"/>
      <c r="H42" s="108"/>
      <c r="I42" s="108"/>
      <c r="J42" s="108"/>
      <c r="K42" s="22"/>
      <c r="L42" s="23"/>
    </row>
    <row r="43" spans="2:12">
      <c r="B43" s="25" t="s">
        <v>28</v>
      </c>
      <c r="C43" s="109" t="s">
        <v>62</v>
      </c>
      <c r="D43" s="109"/>
      <c r="E43" s="110">
        <v>24</v>
      </c>
      <c r="F43" s="111"/>
      <c r="G43" s="147" t="s">
        <v>191</v>
      </c>
      <c r="H43" s="23"/>
      <c r="I43" s="23"/>
      <c r="J43" s="23"/>
      <c r="K43" s="73"/>
      <c r="L43" s="23"/>
    </row>
    <row r="44" spans="2:12">
      <c r="B44" s="25" t="s">
        <v>29</v>
      </c>
      <c r="C44" s="109" t="s">
        <v>62</v>
      </c>
      <c r="D44" s="109"/>
      <c r="E44" s="110">
        <f>(J40-E43)</f>
        <v>272.19837000000001</v>
      </c>
      <c r="F44" s="111"/>
      <c r="G44" s="112"/>
      <c r="H44" s="112"/>
      <c r="I44" s="112"/>
      <c r="J44" s="112"/>
      <c r="K44" s="32"/>
      <c r="L44" s="23"/>
    </row>
    <row r="45" spans="2:12">
      <c r="B45" s="25" t="s">
        <v>29</v>
      </c>
      <c r="C45" s="109" t="s">
        <v>30</v>
      </c>
      <c r="D45" s="109"/>
      <c r="E45" s="110">
        <f>(E44/E42)</f>
        <v>0.60488526666666664</v>
      </c>
      <c r="F45" s="111"/>
      <c r="G45" s="23"/>
      <c r="H45" s="23"/>
      <c r="I45" s="23"/>
      <c r="J45" s="23"/>
      <c r="K45" s="73"/>
      <c r="L45" s="23"/>
    </row>
    <row r="46" spans="2:12" ht="13.8" thickBot="1">
      <c r="B46" s="99" t="s">
        <v>71</v>
      </c>
      <c r="C46" s="113" t="s">
        <v>30</v>
      </c>
      <c r="D46" s="113"/>
      <c r="E46" s="114">
        <f>E45*1.3</f>
        <v>0.78635084666666666</v>
      </c>
      <c r="F46" s="115"/>
      <c r="G46" s="89"/>
      <c r="H46" s="89"/>
      <c r="I46" s="89"/>
      <c r="J46" s="89"/>
      <c r="K46" s="116"/>
      <c r="L46" s="23"/>
    </row>
    <row r="47" spans="2:12">
      <c r="B47" s="23"/>
      <c r="C47" s="14"/>
      <c r="D47" s="14"/>
      <c r="E47" s="117">
        <f>'Arpa K'!E44</f>
        <v>0.81413825999999989</v>
      </c>
      <c r="F47" s="117"/>
      <c r="G47" s="23"/>
      <c r="H47" s="23"/>
      <c r="I47" s="23"/>
      <c r="J47" s="23"/>
      <c r="K47" s="23"/>
      <c r="L47" s="23"/>
    </row>
    <row r="48" spans="2:12">
      <c r="B48" s="23"/>
      <c r="C48" s="14"/>
      <c r="D48" s="14"/>
      <c r="E48" s="117"/>
      <c r="F48" s="117"/>
      <c r="G48" s="23"/>
      <c r="H48" s="23"/>
      <c r="I48" s="23"/>
      <c r="J48" s="23"/>
      <c r="K48" s="23"/>
      <c r="L48" s="23"/>
    </row>
    <row r="49" spans="2:12">
      <c r="B49" s="15" t="s">
        <v>72</v>
      </c>
      <c r="L49" s="23"/>
    </row>
    <row r="50" spans="2:12">
      <c r="B50" s="15" t="s">
        <v>158</v>
      </c>
    </row>
    <row r="71" spans="9:10">
      <c r="I71" s="182"/>
      <c r="J71" s="182"/>
    </row>
    <row r="72" spans="9:10">
      <c r="I72" s="173"/>
      <c r="J72" s="173"/>
    </row>
    <row r="73" spans="9:10">
      <c r="I73" s="173"/>
      <c r="J73" s="173"/>
    </row>
    <row r="74" spans="9:10">
      <c r="I74" s="173"/>
      <c r="J74" s="173"/>
    </row>
    <row r="75" spans="9:10">
      <c r="I75" s="173"/>
      <c r="J75" s="173"/>
    </row>
    <row r="76" spans="9:10">
      <c r="I76" s="173"/>
      <c r="J76" s="173"/>
    </row>
    <row r="77" spans="9:10">
      <c r="I77" s="173"/>
      <c r="J77" s="173"/>
    </row>
  </sheetData>
  <customSheetViews>
    <customSheetView guid="{8B6B86C0-2F1B-11D5-9D92-00606708EF55}" scale="75" showRuler="0" topLeftCell="A17">
      <selection activeCell="M40" sqref="M40"/>
      <pageMargins left="0.74803149606299213" right="0.74803149606299213" top="0.19685039370078741" bottom="0.19685039370078741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0">
    <mergeCell ref="I77:J77"/>
    <mergeCell ref="I74:J74"/>
    <mergeCell ref="I75:J75"/>
    <mergeCell ref="I76:J76"/>
    <mergeCell ref="C3:D5"/>
    <mergeCell ref="E3:F3"/>
    <mergeCell ref="E4:F4"/>
    <mergeCell ref="I73:J73"/>
    <mergeCell ref="I71:J71"/>
    <mergeCell ref="I72:J72"/>
  </mergeCells>
  <phoneticPr fontId="2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89" orientation="landscape" r:id="rId2"/>
  <headerFooter alignWithMargins="0"/>
  <ignoredErrors>
    <ignoredError sqref="J29:J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8"/>
  <sheetViews>
    <sheetView zoomScale="75" workbookViewId="0">
      <selection activeCell="B1" sqref="B1"/>
    </sheetView>
  </sheetViews>
  <sheetFormatPr defaultColWidth="9.109375" defaultRowHeight="13.2"/>
  <cols>
    <col min="1" max="1" width="2.6640625" style="15" customWidth="1"/>
    <col min="2" max="2" width="25.88671875" style="15" customWidth="1"/>
    <col min="3" max="3" width="12.33203125" style="15" customWidth="1"/>
    <col min="4" max="4" width="4.88671875" style="15" customWidth="1"/>
    <col min="5" max="5" width="9.109375" style="15"/>
    <col min="6" max="6" width="10.6640625" style="15" customWidth="1"/>
    <col min="7" max="8" width="9.109375" style="15"/>
    <col min="9" max="9" width="11.33203125" style="15" customWidth="1"/>
    <col min="10" max="10" width="13.44140625" style="15" customWidth="1"/>
    <col min="11" max="11" width="19" style="15" customWidth="1"/>
    <col min="12" max="12" width="8.109375" style="15" customWidth="1"/>
    <col min="13" max="13" width="5.109375" style="15" customWidth="1"/>
    <col min="14" max="14" width="14.88671875" style="15" customWidth="1"/>
    <col min="15" max="15" width="7" style="15" customWidth="1"/>
    <col min="16" max="16" width="11.44140625" style="15" customWidth="1"/>
    <col min="17" max="17" width="15.109375" style="15" customWidth="1"/>
    <col min="18" max="18" width="13.88671875" style="15" customWidth="1"/>
    <col min="19" max="16384" width="9.109375" style="15"/>
  </cols>
  <sheetData>
    <row r="1" spans="2:17" s="9" customFormat="1">
      <c r="B1" t="s">
        <v>198</v>
      </c>
      <c r="I1" t="s">
        <v>189</v>
      </c>
    </row>
    <row r="2" spans="2:17" s="9" customFormat="1" ht="13.8" thickBot="1"/>
    <row r="3" spans="2:17">
      <c r="B3" s="10"/>
      <c r="C3" s="176" t="s">
        <v>50</v>
      </c>
      <c r="D3" s="177"/>
      <c r="E3" s="175" t="s">
        <v>47</v>
      </c>
      <c r="F3" s="175"/>
      <c r="G3" s="11"/>
      <c r="H3" s="12"/>
      <c r="I3" s="11"/>
      <c r="J3" s="11"/>
      <c r="K3" s="13"/>
      <c r="L3" s="14"/>
    </row>
    <row r="4" spans="2:17" ht="13.8" thickBot="1">
      <c r="B4" s="3" t="s">
        <v>45</v>
      </c>
      <c r="C4" s="178"/>
      <c r="D4" s="179"/>
      <c r="E4" s="174" t="s">
        <v>64</v>
      </c>
      <c r="F4" s="174"/>
      <c r="G4" s="4" t="s">
        <v>0</v>
      </c>
      <c r="H4" s="3" t="s">
        <v>1</v>
      </c>
      <c r="I4" s="4" t="s">
        <v>2</v>
      </c>
      <c r="J4" s="4" t="s">
        <v>3</v>
      </c>
      <c r="K4" s="8" t="s">
        <v>4</v>
      </c>
      <c r="L4" s="16"/>
    </row>
    <row r="5" spans="2:17" ht="13.8" thickBot="1">
      <c r="B5" s="17"/>
      <c r="C5" s="180"/>
      <c r="D5" s="181"/>
      <c r="E5" s="6" t="s">
        <v>48</v>
      </c>
      <c r="F5" s="7" t="s">
        <v>49</v>
      </c>
      <c r="G5" s="18"/>
      <c r="H5" s="17"/>
      <c r="I5" s="5" t="s">
        <v>163</v>
      </c>
      <c r="J5" s="5" t="s">
        <v>163</v>
      </c>
      <c r="K5" s="19"/>
      <c r="L5" s="14"/>
    </row>
    <row r="6" spans="2:17">
      <c r="B6" s="2" t="s">
        <v>5</v>
      </c>
      <c r="C6" s="20"/>
      <c r="D6" s="21"/>
      <c r="E6" s="20"/>
      <c r="F6" s="20"/>
      <c r="G6" s="20"/>
      <c r="H6" s="20"/>
      <c r="I6" s="20"/>
      <c r="J6" s="21"/>
      <c r="K6" s="22"/>
      <c r="L6" s="23"/>
      <c r="P6" s="24"/>
    </row>
    <row r="7" spans="2:17">
      <c r="B7" s="25" t="s">
        <v>51</v>
      </c>
      <c r="C7" s="26" t="s">
        <v>54</v>
      </c>
      <c r="D7" s="27">
        <v>1</v>
      </c>
      <c r="E7" s="28">
        <v>0.24</v>
      </c>
      <c r="F7" s="28">
        <v>0.24</v>
      </c>
      <c r="G7" s="29">
        <v>2</v>
      </c>
      <c r="H7" s="26" t="s">
        <v>63</v>
      </c>
      <c r="I7" s="30">
        <f>P11</f>
        <v>4.2</v>
      </c>
      <c r="J7" s="31">
        <f>(G7*I7)+(E7*P12)</f>
        <v>9.6</v>
      </c>
      <c r="K7" s="32" t="s">
        <v>32</v>
      </c>
      <c r="L7" s="23"/>
      <c r="P7" s="24"/>
    </row>
    <row r="8" spans="2:17">
      <c r="B8" s="25" t="s">
        <v>6</v>
      </c>
      <c r="C8" s="26" t="s">
        <v>73</v>
      </c>
      <c r="D8" s="27"/>
      <c r="E8" s="28">
        <v>0.12</v>
      </c>
      <c r="F8" s="28">
        <v>0.12</v>
      </c>
      <c r="G8" s="29">
        <v>1.5</v>
      </c>
      <c r="H8" s="26" t="s">
        <v>63</v>
      </c>
      <c r="I8" s="30">
        <f>P11</f>
        <v>4.2</v>
      </c>
      <c r="J8" s="31">
        <f>(I8*G8)+(P12*E8)</f>
        <v>6.9</v>
      </c>
      <c r="K8" s="32" t="s">
        <v>34</v>
      </c>
      <c r="L8" s="23"/>
      <c r="P8" s="24"/>
    </row>
    <row r="9" spans="2:17">
      <c r="B9" s="25" t="s">
        <v>7</v>
      </c>
      <c r="C9" s="26" t="s">
        <v>73</v>
      </c>
      <c r="D9" s="27">
        <v>1</v>
      </c>
      <c r="E9" s="28">
        <v>0.12</v>
      </c>
      <c r="F9" s="28">
        <v>0.12</v>
      </c>
      <c r="G9" s="29">
        <v>1.5</v>
      </c>
      <c r="H9" s="26" t="s">
        <v>63</v>
      </c>
      <c r="I9" s="30">
        <f>P11</f>
        <v>4.2</v>
      </c>
      <c r="J9" s="31">
        <f>(I9*G9)+(P12*E9)</f>
        <v>6.9</v>
      </c>
      <c r="K9" s="32" t="s">
        <v>33</v>
      </c>
      <c r="L9" s="23"/>
      <c r="P9" s="24"/>
    </row>
    <row r="10" spans="2:17">
      <c r="B10" s="25" t="s">
        <v>8</v>
      </c>
      <c r="C10" s="26" t="s">
        <v>73</v>
      </c>
      <c r="D10" s="27">
        <v>1</v>
      </c>
      <c r="E10" s="28">
        <v>0.1</v>
      </c>
      <c r="F10" s="28">
        <v>0.1</v>
      </c>
      <c r="G10" s="29">
        <v>1</v>
      </c>
      <c r="H10" s="26" t="s">
        <v>63</v>
      </c>
      <c r="I10" s="30">
        <f>P11</f>
        <v>4.2</v>
      </c>
      <c r="J10" s="31">
        <f>(I10*G10)+(P11*E10)</f>
        <v>4.62</v>
      </c>
      <c r="K10" s="32" t="s">
        <v>133</v>
      </c>
      <c r="L10" s="23"/>
      <c r="P10" s="15" t="s">
        <v>160</v>
      </c>
      <c r="Q10" s="15" t="s">
        <v>161</v>
      </c>
    </row>
    <row r="11" spans="2:17" ht="13.8" thickBot="1">
      <c r="B11" s="33" t="s">
        <v>8</v>
      </c>
      <c r="C11" s="34" t="s">
        <v>73</v>
      </c>
      <c r="D11" s="35"/>
      <c r="E11" s="36">
        <v>0.1</v>
      </c>
      <c r="F11" s="36"/>
      <c r="G11" s="37"/>
      <c r="H11" s="34" t="s">
        <v>39</v>
      </c>
      <c r="I11" s="38">
        <f>P12</f>
        <v>5</v>
      </c>
      <c r="J11" s="31">
        <f>P12*E11</f>
        <v>0.5</v>
      </c>
      <c r="K11" s="39" t="s">
        <v>132</v>
      </c>
      <c r="L11" s="23"/>
      <c r="N11" s="15" t="s">
        <v>77</v>
      </c>
      <c r="P11" s="24">
        <f>'Arpa K'!P11</f>
        <v>4.2</v>
      </c>
      <c r="Q11" s="15">
        <v>4.08</v>
      </c>
    </row>
    <row r="12" spans="2:17" ht="13.8" thickBot="1">
      <c r="B12" s="40" t="s">
        <v>9</v>
      </c>
      <c r="C12" s="41"/>
      <c r="D12" s="42"/>
      <c r="E12" s="43">
        <f>SUM(E7:E11)</f>
        <v>0.67999999999999994</v>
      </c>
      <c r="F12" s="44">
        <f>SUM(F7:F11)</f>
        <v>0.57999999999999996</v>
      </c>
      <c r="G12" s="45"/>
      <c r="H12" s="42"/>
      <c r="I12" s="46"/>
      <c r="J12" s="47">
        <f>SUM(J7:J11)</f>
        <v>28.52</v>
      </c>
      <c r="K12" s="48"/>
      <c r="L12" s="23"/>
      <c r="N12" t="s">
        <v>164</v>
      </c>
      <c r="P12" s="24">
        <f>'Arpa K'!P12</f>
        <v>5</v>
      </c>
    </row>
    <row r="13" spans="2:17">
      <c r="B13" s="2" t="s">
        <v>10</v>
      </c>
      <c r="C13" s="49"/>
      <c r="D13" s="50"/>
      <c r="E13" s="51"/>
      <c r="F13" s="51"/>
      <c r="G13" s="52"/>
      <c r="H13" s="49"/>
      <c r="I13" s="53"/>
      <c r="J13" s="53"/>
      <c r="K13" s="22"/>
      <c r="L13" s="23"/>
      <c r="N13" s="15" t="s">
        <v>56</v>
      </c>
      <c r="P13" s="24">
        <f>'Arpa K'!P13</f>
        <v>12</v>
      </c>
    </row>
    <row r="14" spans="2:17">
      <c r="B14" s="54" t="s">
        <v>11</v>
      </c>
      <c r="C14" s="55" t="s">
        <v>53</v>
      </c>
      <c r="D14" s="56">
        <v>1</v>
      </c>
      <c r="E14" s="57">
        <v>0.09</v>
      </c>
      <c r="F14" s="57">
        <v>0.09</v>
      </c>
      <c r="G14" s="58">
        <v>0.5</v>
      </c>
      <c r="H14" s="55" t="s">
        <v>63</v>
      </c>
      <c r="I14" s="59">
        <f>Q11</f>
        <v>4.08</v>
      </c>
      <c r="J14" s="31">
        <f>(P12*E14)+(G14*I14)</f>
        <v>2.4900000000000002</v>
      </c>
      <c r="K14" s="60" t="s">
        <v>37</v>
      </c>
      <c r="L14" s="23"/>
      <c r="N14" s="15" t="s">
        <v>16</v>
      </c>
      <c r="P14" s="24">
        <f>'Arpa K'!P14</f>
        <v>35</v>
      </c>
    </row>
    <row r="15" spans="2:17">
      <c r="B15" s="25" t="s">
        <v>11</v>
      </c>
      <c r="C15" s="26" t="s">
        <v>53</v>
      </c>
      <c r="D15" s="27"/>
      <c r="E15" s="28">
        <v>0.09</v>
      </c>
      <c r="F15" s="28"/>
      <c r="G15" s="29"/>
      <c r="H15" s="26" t="s">
        <v>39</v>
      </c>
      <c r="I15" s="59">
        <f>P12</f>
        <v>5</v>
      </c>
      <c r="J15" s="30">
        <f>I15*E15</f>
        <v>0.44999999999999996</v>
      </c>
      <c r="K15" s="32" t="s">
        <v>36</v>
      </c>
      <c r="L15" s="23"/>
      <c r="N15" s="15" t="s">
        <v>23</v>
      </c>
      <c r="P15" s="24">
        <f>'Arpa K'!P15</f>
        <v>30</v>
      </c>
    </row>
    <row r="16" spans="2:17">
      <c r="B16" s="54" t="s">
        <v>12</v>
      </c>
      <c r="C16" s="55" t="s">
        <v>31</v>
      </c>
      <c r="D16" s="56">
        <v>1</v>
      </c>
      <c r="E16" s="57">
        <v>0.08</v>
      </c>
      <c r="F16" s="57">
        <v>0.08</v>
      </c>
      <c r="G16" s="58">
        <v>0.5</v>
      </c>
      <c r="H16" s="55" t="s">
        <v>63</v>
      </c>
      <c r="I16" s="59">
        <f>Q11</f>
        <v>4.08</v>
      </c>
      <c r="J16" s="31">
        <f>(G16*I16)</f>
        <v>2.04</v>
      </c>
      <c r="K16" s="60" t="s">
        <v>38</v>
      </c>
      <c r="L16" s="23"/>
      <c r="N16" s="15" t="s">
        <v>69</v>
      </c>
      <c r="O16" s="61"/>
      <c r="P16" s="24">
        <f>'Arpa K'!P16</f>
        <v>1.5</v>
      </c>
    </row>
    <row r="17" spans="2:26" ht="13.8" thickBot="1">
      <c r="B17" s="25" t="s">
        <v>12</v>
      </c>
      <c r="C17" s="26" t="s">
        <v>31</v>
      </c>
      <c r="D17" s="27"/>
      <c r="E17" s="28">
        <v>0.08</v>
      </c>
      <c r="F17" s="62"/>
      <c r="G17" s="29"/>
      <c r="H17" s="26" t="s">
        <v>39</v>
      </c>
      <c r="I17" s="59">
        <f>P12</f>
        <v>5</v>
      </c>
      <c r="J17" s="31">
        <f>(I17*E17)</f>
        <v>0.4</v>
      </c>
      <c r="K17" s="63" t="s">
        <v>36</v>
      </c>
      <c r="L17" s="23"/>
      <c r="N17" s="15" t="s">
        <v>57</v>
      </c>
      <c r="P17" s="24">
        <f>'Arpa K'!P17</f>
        <v>150</v>
      </c>
      <c r="Q17" s="64" t="s">
        <v>154</v>
      </c>
      <c r="R17" s="15" t="s">
        <v>155</v>
      </c>
    </row>
    <row r="18" spans="2:26" ht="13.8" thickBot="1">
      <c r="B18" s="40" t="s">
        <v>9</v>
      </c>
      <c r="C18" s="65"/>
      <c r="D18" s="66"/>
      <c r="E18" s="44">
        <f>SUM(E14:E17)</f>
        <v>0.34</v>
      </c>
      <c r="F18" s="44">
        <f>SUM(F14:F17)</f>
        <v>0.16999999999999998</v>
      </c>
      <c r="G18" s="67"/>
      <c r="H18" s="41"/>
      <c r="I18" s="68"/>
      <c r="J18" s="47">
        <f>SUM(J14:J17)</f>
        <v>5.3800000000000008</v>
      </c>
      <c r="K18" s="48"/>
      <c r="N18" s="15" t="s">
        <v>59</v>
      </c>
      <c r="P18" s="24">
        <f>'Arpa K'!P18</f>
        <v>16.8</v>
      </c>
    </row>
    <row r="19" spans="2:26">
      <c r="B19" s="2" t="s">
        <v>13</v>
      </c>
      <c r="C19" s="20"/>
      <c r="D19" s="21"/>
      <c r="E19" s="51"/>
      <c r="F19" s="51"/>
      <c r="G19" s="52"/>
      <c r="H19" s="49"/>
      <c r="I19" s="53"/>
      <c r="J19" s="53"/>
      <c r="K19" s="22"/>
      <c r="L19" s="23"/>
      <c r="N19" s="15" t="s">
        <v>79</v>
      </c>
      <c r="P19" s="24">
        <f>'Arpa K'!P19</f>
        <v>1.25</v>
      </c>
    </row>
    <row r="20" spans="2:26">
      <c r="B20" s="54" t="s">
        <v>14</v>
      </c>
      <c r="C20" s="55" t="s">
        <v>46</v>
      </c>
      <c r="D20" s="56">
        <v>1</v>
      </c>
      <c r="E20" s="57">
        <v>0.12</v>
      </c>
      <c r="F20" s="57">
        <v>0.12</v>
      </c>
      <c r="G20" s="58"/>
      <c r="H20" s="55" t="s">
        <v>63</v>
      </c>
      <c r="I20" s="59">
        <f>P13</f>
        <v>12</v>
      </c>
      <c r="J20" s="31">
        <f>(I20*D20)</f>
        <v>12</v>
      </c>
      <c r="K20" s="60" t="s">
        <v>41</v>
      </c>
      <c r="L20" s="23"/>
      <c r="N20" s="15" t="s">
        <v>80</v>
      </c>
      <c r="P20" s="24">
        <f>'Arpa K'!P20</f>
        <v>20</v>
      </c>
    </row>
    <row r="21" spans="2:26">
      <c r="B21" s="54" t="s">
        <v>15</v>
      </c>
      <c r="C21" s="55" t="s">
        <v>46</v>
      </c>
      <c r="D21" s="69"/>
      <c r="E21" s="57">
        <v>0.12</v>
      </c>
      <c r="F21" s="57"/>
      <c r="G21" s="58"/>
      <c r="H21" s="55" t="s">
        <v>39</v>
      </c>
      <c r="I21" s="59">
        <f>P12</f>
        <v>5</v>
      </c>
      <c r="J21" s="30">
        <f>(I21*E21)</f>
        <v>0.6</v>
      </c>
      <c r="K21" s="60" t="s">
        <v>36</v>
      </c>
      <c r="L21" s="23"/>
      <c r="N21" s="15" t="s">
        <v>153</v>
      </c>
      <c r="O21" s="61"/>
      <c r="P21" s="24">
        <v>25</v>
      </c>
      <c r="Q21" s="61"/>
    </row>
    <row r="22" spans="2:26" ht="13.8" thickBot="1">
      <c r="B22" s="33" t="s">
        <v>16</v>
      </c>
      <c r="C22" s="34" t="s">
        <v>46</v>
      </c>
      <c r="D22" s="70"/>
      <c r="E22" s="71">
        <v>0.04</v>
      </c>
      <c r="F22" s="71">
        <v>0.04</v>
      </c>
      <c r="G22" s="37"/>
      <c r="H22" s="34" t="s">
        <v>40</v>
      </c>
      <c r="I22" s="72">
        <f>P14/2000</f>
        <v>1.7500000000000002E-2</v>
      </c>
      <c r="J22" s="30">
        <f>I22*E41</f>
        <v>4.7250000000000005</v>
      </c>
      <c r="K22" s="73" t="s">
        <v>42</v>
      </c>
      <c r="L22" s="23"/>
      <c r="O22" s="61"/>
      <c r="P22" s="23"/>
      <c r="Q22" s="14"/>
      <c r="R22" s="14"/>
      <c r="S22" s="74"/>
      <c r="T22" s="74"/>
      <c r="U22" s="23"/>
      <c r="V22" s="14"/>
      <c r="W22" s="75"/>
      <c r="X22" s="75"/>
      <c r="Y22" s="23"/>
      <c r="Z22" s="23"/>
    </row>
    <row r="23" spans="2:26" ht="13.8" thickBot="1">
      <c r="B23" s="12" t="s">
        <v>9</v>
      </c>
      <c r="C23" s="65"/>
      <c r="D23" s="76"/>
      <c r="E23" s="77">
        <f>SUM(E20:E22)</f>
        <v>0.27999999999999997</v>
      </c>
      <c r="F23" s="77">
        <f>SUM(F20:F22)</f>
        <v>0.16</v>
      </c>
      <c r="G23" s="65"/>
      <c r="H23" s="78"/>
      <c r="I23" s="79"/>
      <c r="J23" s="47">
        <f>SUM(J20:J22)</f>
        <v>17.324999999999999</v>
      </c>
      <c r="K23" s="80"/>
      <c r="L23" s="23"/>
      <c r="O23" s="61"/>
      <c r="Q23" s="61"/>
    </row>
    <row r="24" spans="2:26">
      <c r="B24" s="2" t="s">
        <v>17</v>
      </c>
      <c r="C24" s="81"/>
      <c r="D24" s="21"/>
      <c r="E24" s="20"/>
      <c r="F24" s="20"/>
      <c r="G24" s="20"/>
      <c r="H24" s="49"/>
      <c r="I24" s="53"/>
      <c r="J24" s="53"/>
      <c r="K24" s="22"/>
      <c r="L24" s="23"/>
      <c r="O24" s="82"/>
      <c r="Q24" s="61"/>
    </row>
    <row r="25" spans="2:26">
      <c r="B25" s="54" t="s">
        <v>18</v>
      </c>
      <c r="C25" s="83"/>
      <c r="D25" s="69"/>
      <c r="E25" s="84"/>
      <c r="F25" s="84"/>
      <c r="G25" s="58">
        <f>P20</f>
        <v>20</v>
      </c>
      <c r="H25" s="55" t="s">
        <v>40</v>
      </c>
      <c r="I25" s="59">
        <f>P19</f>
        <v>1.25</v>
      </c>
      <c r="J25" s="31">
        <f>(I25*G25)</f>
        <v>25</v>
      </c>
      <c r="K25" s="60" t="s">
        <v>68</v>
      </c>
      <c r="L25" s="23"/>
    </row>
    <row r="26" spans="2:26">
      <c r="B26" s="54" t="s">
        <v>65</v>
      </c>
      <c r="C26" s="83"/>
      <c r="D26" s="69"/>
      <c r="E26" s="84"/>
      <c r="F26" s="84"/>
      <c r="G26" s="58">
        <f>O29</f>
        <v>15</v>
      </c>
      <c r="H26" s="55" t="s">
        <v>40</v>
      </c>
      <c r="I26" s="59">
        <f>Q29</f>
        <v>1.4</v>
      </c>
      <c r="J26" s="31">
        <f>(I26*G26)</f>
        <v>21</v>
      </c>
      <c r="K26" s="60" t="s">
        <v>43</v>
      </c>
      <c r="L26" s="23"/>
    </row>
    <row r="27" spans="2:26">
      <c r="B27" s="54" t="s">
        <v>66</v>
      </c>
      <c r="C27" s="83"/>
      <c r="D27" s="69"/>
      <c r="E27" s="84"/>
      <c r="F27" s="84"/>
      <c r="G27" s="58">
        <f>O30</f>
        <v>15</v>
      </c>
      <c r="H27" s="55" t="s">
        <v>40</v>
      </c>
      <c r="I27" s="59">
        <f>Q30</f>
        <v>0.95</v>
      </c>
      <c r="J27" s="31">
        <f>(I27*G27)</f>
        <v>14.25</v>
      </c>
      <c r="K27" s="60" t="s">
        <v>67</v>
      </c>
      <c r="L27" s="23"/>
      <c r="O27" s="61" t="s">
        <v>74</v>
      </c>
      <c r="P27" s="61" t="s">
        <v>3</v>
      </c>
      <c r="Q27" s="61" t="s">
        <v>58</v>
      </c>
    </row>
    <row r="28" spans="2:26">
      <c r="B28" s="54" t="s">
        <v>153</v>
      </c>
      <c r="C28" s="83"/>
      <c r="D28" s="69"/>
      <c r="E28" s="84"/>
      <c r="F28" s="84"/>
      <c r="G28" s="124">
        <v>0.25</v>
      </c>
      <c r="H28" s="55" t="s">
        <v>40</v>
      </c>
      <c r="I28" s="59">
        <f>P21</f>
        <v>25</v>
      </c>
      <c r="J28" s="31">
        <f>I28*G28</f>
        <v>6.25</v>
      </c>
      <c r="K28" s="60" t="s">
        <v>153</v>
      </c>
      <c r="L28" s="23"/>
      <c r="O28" s="61"/>
      <c r="P28" s="61"/>
      <c r="Q28" s="61"/>
    </row>
    <row r="29" spans="2:26">
      <c r="B29" s="54" t="s">
        <v>69</v>
      </c>
      <c r="C29" s="83"/>
      <c r="D29" s="56">
        <v>1</v>
      </c>
      <c r="E29" s="84"/>
      <c r="F29" s="84"/>
      <c r="G29" s="58"/>
      <c r="H29" s="55" t="s">
        <v>63</v>
      </c>
      <c r="I29" s="59">
        <f>P16</f>
        <v>1.5</v>
      </c>
      <c r="J29" s="31">
        <f>P16</f>
        <v>1.5</v>
      </c>
      <c r="K29" s="60" t="s">
        <v>70</v>
      </c>
      <c r="L29" s="23"/>
      <c r="N29" s="23" t="s">
        <v>43</v>
      </c>
      <c r="O29" s="61">
        <v>15</v>
      </c>
      <c r="P29" s="24">
        <f>(Q29*O29)</f>
        <v>21</v>
      </c>
      <c r="Q29" s="64">
        <f>'Arpa K'!Q28</f>
        <v>1.4</v>
      </c>
    </row>
    <row r="30" spans="2:26" ht="13.8" thickBot="1">
      <c r="B30" s="25" t="s">
        <v>19</v>
      </c>
      <c r="C30" s="133"/>
      <c r="D30" s="86"/>
      <c r="E30" s="87"/>
      <c r="F30" s="87"/>
      <c r="G30" s="87">
        <v>0.05</v>
      </c>
      <c r="H30" s="26" t="s">
        <v>40</v>
      </c>
      <c r="I30" s="30">
        <f>P17</f>
        <v>150</v>
      </c>
      <c r="J30" s="31">
        <f>(I30*G30)</f>
        <v>7.5</v>
      </c>
      <c r="K30" s="32" t="s">
        <v>44</v>
      </c>
      <c r="L30" s="23"/>
      <c r="N30" s="15" t="s">
        <v>156</v>
      </c>
      <c r="O30" s="61">
        <v>15</v>
      </c>
      <c r="P30" s="24">
        <f>(Q30*O30)</f>
        <v>14.25</v>
      </c>
      <c r="Q30" s="64">
        <f>'Arpa K'!Q29</f>
        <v>0.95</v>
      </c>
    </row>
    <row r="31" spans="2:26" ht="13.8" thickBot="1">
      <c r="B31" s="40" t="s">
        <v>9</v>
      </c>
      <c r="C31" s="93"/>
      <c r="D31" s="66"/>
      <c r="E31" s="65"/>
      <c r="F31" s="65"/>
      <c r="G31" s="65"/>
      <c r="H31" s="65"/>
      <c r="I31" s="65"/>
      <c r="J31" s="47">
        <f>SUM(J25:J30)</f>
        <v>75.5</v>
      </c>
      <c r="K31" s="48"/>
      <c r="L31" s="23"/>
      <c r="Q31" s="64"/>
    </row>
    <row r="32" spans="2:26" ht="13.8" thickBot="1">
      <c r="B32" s="40" t="s">
        <v>20</v>
      </c>
      <c r="C32" s="94"/>
      <c r="D32" s="66"/>
      <c r="E32" s="65"/>
      <c r="F32" s="65"/>
      <c r="G32" s="65"/>
      <c r="H32" s="65"/>
      <c r="I32" s="65"/>
      <c r="J32" s="47">
        <f>(J12+J18+J23+J31)</f>
        <v>126.72499999999999</v>
      </c>
      <c r="K32" s="48"/>
      <c r="L32" s="23"/>
    </row>
    <row r="33" spans="2:12">
      <c r="B33" s="2" t="s">
        <v>21</v>
      </c>
      <c r="C33" s="81"/>
      <c r="D33" s="21"/>
      <c r="E33" s="20"/>
      <c r="F33" s="20"/>
      <c r="G33" s="20"/>
      <c r="H33" s="20"/>
      <c r="I33" s="20"/>
      <c r="J33" s="53"/>
      <c r="K33" s="22"/>
      <c r="L33" s="23"/>
    </row>
    <row r="34" spans="2:12">
      <c r="B34" s="25" t="s">
        <v>22</v>
      </c>
      <c r="C34" s="85"/>
      <c r="D34" s="86"/>
      <c r="E34" s="87"/>
      <c r="F34" s="87"/>
      <c r="G34" s="87"/>
      <c r="H34" s="87"/>
      <c r="I34" s="87"/>
      <c r="J34" s="30">
        <f>J32*0.05</f>
        <v>6.3362499999999997</v>
      </c>
      <c r="K34" s="32"/>
      <c r="L34" s="23"/>
    </row>
    <row r="35" spans="2:12">
      <c r="B35" s="25" t="s">
        <v>23</v>
      </c>
      <c r="C35" s="85"/>
      <c r="D35" s="86"/>
      <c r="E35" s="87"/>
      <c r="F35" s="87"/>
      <c r="G35" s="87"/>
      <c r="H35" s="87"/>
      <c r="I35" s="87"/>
      <c r="J35" s="30">
        <f>P15</f>
        <v>30</v>
      </c>
      <c r="K35" s="32"/>
      <c r="L35" s="23"/>
    </row>
    <row r="36" spans="2:12">
      <c r="B36" s="25" t="s">
        <v>24</v>
      </c>
      <c r="C36" s="85"/>
      <c r="D36" s="86"/>
      <c r="E36" s="87"/>
      <c r="F36" s="87"/>
      <c r="G36" s="87"/>
      <c r="H36" s="87"/>
      <c r="I36" s="87"/>
      <c r="J36" s="30">
        <f>((J32+J34+J35)*0.05)</f>
        <v>8.1530625000000008</v>
      </c>
      <c r="K36" s="32"/>
      <c r="L36" s="23"/>
    </row>
    <row r="37" spans="2:12">
      <c r="B37" s="95" t="s">
        <v>25</v>
      </c>
      <c r="C37" s="83"/>
      <c r="D37" s="96"/>
      <c r="E37" s="97"/>
      <c r="F37" s="97"/>
      <c r="G37" s="97"/>
      <c r="H37" s="97"/>
      <c r="I37" s="97"/>
      <c r="J37" s="98">
        <f>((J32+J34+J35)*0.03)</f>
        <v>4.8918375000000003</v>
      </c>
      <c r="K37" s="73"/>
      <c r="L37" s="23"/>
    </row>
    <row r="38" spans="2:12" ht="13.8" thickBot="1">
      <c r="B38" s="99" t="s">
        <v>9</v>
      </c>
      <c r="C38" s="93"/>
      <c r="D38" s="100"/>
      <c r="E38" s="101"/>
      <c r="F38" s="101"/>
      <c r="G38" s="101"/>
      <c r="H38" s="101"/>
      <c r="I38" s="101"/>
      <c r="J38" s="102">
        <f>SUM(J34:J37)</f>
        <v>49.381149999999998</v>
      </c>
      <c r="K38" s="103"/>
      <c r="L38" s="23"/>
    </row>
    <row r="39" spans="2:12" ht="13.8" thickBot="1">
      <c r="B39" s="1" t="s">
        <v>26</v>
      </c>
      <c r="C39" s="94"/>
      <c r="D39" s="66"/>
      <c r="E39" s="44"/>
      <c r="F39" s="44"/>
      <c r="G39" s="65"/>
      <c r="H39" s="65"/>
      <c r="I39" s="65"/>
      <c r="J39" s="47">
        <f>(J32+J38)</f>
        <v>176.10614999999999</v>
      </c>
      <c r="K39" s="48"/>
      <c r="L39" s="23"/>
    </row>
    <row r="40" spans="2:12" ht="13.8" thickBot="1">
      <c r="B40" s="23"/>
      <c r="C40" s="23"/>
      <c r="D40" s="23"/>
      <c r="E40" s="104"/>
      <c r="F40" s="104"/>
      <c r="G40" s="23"/>
      <c r="H40" s="23"/>
      <c r="I40" s="23"/>
      <c r="J40" s="23"/>
      <c r="K40" s="23"/>
      <c r="L40" s="23"/>
    </row>
    <row r="41" spans="2:12">
      <c r="B41" s="105" t="s">
        <v>27</v>
      </c>
      <c r="C41" s="106" t="s">
        <v>61</v>
      </c>
      <c r="D41" s="50"/>
      <c r="E41" s="107">
        <v>270</v>
      </c>
      <c r="F41" s="50"/>
      <c r="G41" s="108"/>
      <c r="H41" s="108"/>
      <c r="I41" s="108"/>
      <c r="J41" s="108"/>
      <c r="K41" s="22"/>
      <c r="L41" s="23"/>
    </row>
    <row r="42" spans="2:12">
      <c r="B42" s="25" t="s">
        <v>28</v>
      </c>
      <c r="C42" s="109" t="s">
        <v>62</v>
      </c>
      <c r="D42" s="109"/>
      <c r="E42" s="110">
        <v>12</v>
      </c>
      <c r="F42" s="111"/>
      <c r="G42" s="147" t="s">
        <v>190</v>
      </c>
      <c r="H42" s="23"/>
      <c r="I42" s="23"/>
      <c r="J42" s="23"/>
      <c r="K42" s="73"/>
      <c r="L42" s="23"/>
    </row>
    <row r="43" spans="2:12">
      <c r="B43" s="25" t="s">
        <v>29</v>
      </c>
      <c r="C43" s="109" t="s">
        <v>62</v>
      </c>
      <c r="D43" s="109"/>
      <c r="E43" s="110">
        <f>(J39-E42)</f>
        <v>164.10614999999999</v>
      </c>
      <c r="F43" s="111"/>
      <c r="G43" s="112"/>
      <c r="H43" s="112"/>
      <c r="I43" s="112"/>
      <c r="J43" s="112"/>
      <c r="K43" s="32"/>
      <c r="L43" s="23"/>
    </row>
    <row r="44" spans="2:12">
      <c r="B44" s="25" t="s">
        <v>29</v>
      </c>
      <c r="C44" s="109" t="s">
        <v>30</v>
      </c>
      <c r="D44" s="109"/>
      <c r="E44" s="110">
        <f>(E43/E41)</f>
        <v>0.60780055555555546</v>
      </c>
      <c r="F44" s="111"/>
      <c r="G44" s="23"/>
      <c r="H44" s="23"/>
      <c r="I44" s="23"/>
      <c r="J44" s="23"/>
      <c r="K44" s="73"/>
      <c r="L44" s="23"/>
    </row>
    <row r="45" spans="2:12" ht="13.8" thickBot="1">
      <c r="B45" s="99" t="s">
        <v>71</v>
      </c>
      <c r="C45" s="113" t="s">
        <v>30</v>
      </c>
      <c r="D45" s="113"/>
      <c r="E45" s="114">
        <f>E44*1.3</f>
        <v>0.79014072222222209</v>
      </c>
      <c r="F45" s="115"/>
      <c r="G45" s="89"/>
      <c r="H45" s="89"/>
      <c r="I45" s="89"/>
      <c r="J45" s="89"/>
      <c r="K45" s="116"/>
      <c r="L45" s="23"/>
    </row>
    <row r="46" spans="2:12">
      <c r="L46" s="23"/>
    </row>
    <row r="47" spans="2:12">
      <c r="B47" s="23"/>
      <c r="C47" s="14"/>
      <c r="D47" s="14"/>
      <c r="E47" s="117"/>
      <c r="F47" s="117"/>
      <c r="G47" s="23"/>
      <c r="H47" s="23"/>
      <c r="I47" s="23"/>
      <c r="J47" s="23"/>
      <c r="K47" s="23"/>
      <c r="L47" s="23"/>
    </row>
    <row r="48" spans="2:12">
      <c r="B48" s="15" t="s">
        <v>72</v>
      </c>
      <c r="C48" s="14"/>
      <c r="D48" s="14"/>
      <c r="E48" s="117"/>
      <c r="F48" s="117"/>
      <c r="G48" s="23"/>
      <c r="H48" s="23"/>
      <c r="I48" s="23"/>
      <c r="J48" s="23"/>
      <c r="K48" s="23"/>
      <c r="L48" s="23"/>
    </row>
    <row r="49" spans="2:12">
      <c r="B49" s="15" t="s">
        <v>158</v>
      </c>
      <c r="L49" s="23"/>
    </row>
    <row r="50" spans="2:12">
      <c r="L50" s="23"/>
    </row>
    <row r="72" spans="9:10">
      <c r="I72" s="182"/>
      <c r="J72" s="182"/>
    </row>
    <row r="73" spans="9:10">
      <c r="I73" s="173"/>
      <c r="J73" s="173"/>
    </row>
    <row r="74" spans="9:10">
      <c r="I74" s="173"/>
      <c r="J74" s="173"/>
    </row>
    <row r="75" spans="9:10">
      <c r="I75" s="173"/>
      <c r="J75" s="173"/>
    </row>
    <row r="76" spans="9:10">
      <c r="I76" s="173"/>
      <c r="J76" s="173"/>
    </row>
    <row r="77" spans="9:10">
      <c r="I77" s="173"/>
      <c r="J77" s="173"/>
    </row>
    <row r="78" spans="9:10">
      <c r="I78" s="173"/>
      <c r="J78" s="173"/>
    </row>
  </sheetData>
  <customSheetViews>
    <customSheetView guid="{8B6B86C0-2F1B-11D5-9D92-00606708EF55}" scale="75" showRuler="0" topLeftCell="A14">
      <selection activeCell="G18" sqref="G18"/>
      <pageMargins left="0.74803149606299213" right="0.74803149606299213" top="0.39370078740157483" bottom="0.39370078740157483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0">
    <mergeCell ref="C3:D5"/>
    <mergeCell ref="E3:F3"/>
    <mergeCell ref="E4:F4"/>
    <mergeCell ref="I76:J76"/>
    <mergeCell ref="I78:J78"/>
    <mergeCell ref="I72:J72"/>
    <mergeCell ref="I73:J73"/>
    <mergeCell ref="I74:J74"/>
    <mergeCell ref="I75:J75"/>
    <mergeCell ref="I77:J77"/>
  </mergeCells>
  <phoneticPr fontId="2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86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8"/>
  <sheetViews>
    <sheetView zoomScale="75" workbookViewId="0">
      <selection activeCell="J4" sqref="J4"/>
    </sheetView>
  </sheetViews>
  <sheetFormatPr defaultColWidth="9.109375" defaultRowHeight="13.2"/>
  <cols>
    <col min="1" max="1" width="2.6640625" style="15" customWidth="1"/>
    <col min="2" max="2" width="25.88671875" style="15" customWidth="1"/>
    <col min="3" max="3" width="12.33203125" style="15" customWidth="1"/>
    <col min="4" max="4" width="4.88671875" style="15" customWidth="1"/>
    <col min="5" max="5" width="9.109375" style="15"/>
    <col min="6" max="6" width="10.6640625" style="15" customWidth="1"/>
    <col min="7" max="8" width="9.109375" style="15"/>
    <col min="9" max="9" width="11.33203125" style="15" customWidth="1"/>
    <col min="10" max="10" width="13.44140625" style="15" customWidth="1"/>
    <col min="11" max="11" width="19" style="15" customWidth="1"/>
    <col min="12" max="12" width="8.109375" style="15" customWidth="1"/>
    <col min="13" max="13" width="5.109375" style="15" customWidth="1"/>
    <col min="14" max="14" width="14.88671875" style="15" customWidth="1"/>
    <col min="15" max="15" width="7" style="15" customWidth="1"/>
    <col min="16" max="16" width="11.44140625" style="15" customWidth="1"/>
    <col min="17" max="17" width="14" style="15" customWidth="1"/>
    <col min="18" max="18" width="13.109375" style="15" customWidth="1"/>
    <col min="19" max="16384" width="9.109375" style="15"/>
  </cols>
  <sheetData>
    <row r="1" spans="2:17" s="9" customFormat="1">
      <c r="B1" t="s">
        <v>199</v>
      </c>
      <c r="I1"/>
    </row>
    <row r="2" spans="2:17" s="9" customFormat="1" ht="13.8" thickBot="1"/>
    <row r="3" spans="2:17">
      <c r="B3" s="10"/>
      <c r="C3" s="176" t="s">
        <v>50</v>
      </c>
      <c r="D3" s="177"/>
      <c r="E3" s="175" t="s">
        <v>47</v>
      </c>
      <c r="F3" s="175"/>
      <c r="G3" s="11"/>
      <c r="H3" s="12"/>
      <c r="I3" s="11"/>
      <c r="J3" s="11"/>
      <c r="K3" s="13"/>
      <c r="L3" s="14"/>
    </row>
    <row r="4" spans="2:17" ht="13.8" thickBot="1">
      <c r="B4" s="3" t="s">
        <v>45</v>
      </c>
      <c r="C4" s="178"/>
      <c r="D4" s="179"/>
      <c r="E4" s="174" t="s">
        <v>64</v>
      </c>
      <c r="F4" s="174"/>
      <c r="G4" s="4" t="s">
        <v>0</v>
      </c>
      <c r="H4" s="3" t="s">
        <v>1</v>
      </c>
      <c r="I4" s="4" t="s">
        <v>2</v>
      </c>
      <c r="J4" s="4" t="s">
        <v>3</v>
      </c>
      <c r="K4" s="8" t="s">
        <v>4</v>
      </c>
      <c r="L4" s="16"/>
    </row>
    <row r="5" spans="2:17" ht="13.8" thickBot="1">
      <c r="B5" s="17"/>
      <c r="C5" s="180"/>
      <c r="D5" s="181"/>
      <c r="E5" s="6" t="s">
        <v>48</v>
      </c>
      <c r="F5" s="7" t="s">
        <v>49</v>
      </c>
      <c r="G5" s="18"/>
      <c r="H5" s="17"/>
      <c r="I5" s="5" t="s">
        <v>163</v>
      </c>
      <c r="J5" s="5" t="s">
        <v>163</v>
      </c>
      <c r="K5" s="19"/>
      <c r="L5" s="14"/>
    </row>
    <row r="6" spans="2:17">
      <c r="B6" s="2" t="s">
        <v>5</v>
      </c>
      <c r="C6" s="20"/>
      <c r="D6" s="21"/>
      <c r="E6" s="20"/>
      <c r="F6" s="20"/>
      <c r="G6" s="20"/>
      <c r="H6" s="20"/>
      <c r="I6" s="20"/>
      <c r="J6" s="21"/>
      <c r="K6" s="22"/>
      <c r="L6" s="23"/>
      <c r="P6" s="24"/>
    </row>
    <row r="7" spans="2:17">
      <c r="B7" s="25" t="s">
        <v>51</v>
      </c>
      <c r="C7" s="26" t="s">
        <v>54</v>
      </c>
      <c r="D7" s="27">
        <v>1</v>
      </c>
      <c r="E7" s="28">
        <v>0.24</v>
      </c>
      <c r="F7" s="28">
        <v>0.24</v>
      </c>
      <c r="G7" s="29">
        <v>2</v>
      </c>
      <c r="H7" s="26" t="s">
        <v>63</v>
      </c>
      <c r="I7" s="30">
        <f>P11</f>
        <v>4.2</v>
      </c>
      <c r="J7" s="31">
        <f>(G7*I7)+(E7*P12)</f>
        <v>9.6</v>
      </c>
      <c r="K7" s="32" t="s">
        <v>32</v>
      </c>
      <c r="L7" s="23"/>
      <c r="P7" s="24"/>
    </row>
    <row r="8" spans="2:17">
      <c r="B8" s="25" t="s">
        <v>6</v>
      </c>
      <c r="C8" s="26" t="s">
        <v>73</v>
      </c>
      <c r="D8" s="27"/>
      <c r="E8" s="28">
        <v>0.12</v>
      </c>
      <c r="F8" s="28">
        <v>0.12</v>
      </c>
      <c r="G8" s="29">
        <v>1.5</v>
      </c>
      <c r="H8" s="26" t="s">
        <v>63</v>
      </c>
      <c r="I8" s="30">
        <f>P11</f>
        <v>4.2</v>
      </c>
      <c r="J8" s="31">
        <f>(I8*G8)+(P12*E8)</f>
        <v>6.9</v>
      </c>
      <c r="K8" s="32" t="s">
        <v>34</v>
      </c>
      <c r="L8" s="23"/>
      <c r="P8" s="24"/>
    </row>
    <row r="9" spans="2:17">
      <c r="B9" s="25" t="s">
        <v>7</v>
      </c>
      <c r="C9" s="26" t="s">
        <v>73</v>
      </c>
      <c r="D9" s="27">
        <v>1</v>
      </c>
      <c r="E9" s="28">
        <v>0.12</v>
      </c>
      <c r="F9" s="28">
        <v>0.12</v>
      </c>
      <c r="G9" s="29">
        <v>1.5</v>
      </c>
      <c r="H9" s="26" t="s">
        <v>63</v>
      </c>
      <c r="I9" s="30">
        <f>P11</f>
        <v>4.2</v>
      </c>
      <c r="J9" s="31">
        <f>(I9*G9)+(P12*E9)</f>
        <v>6.9</v>
      </c>
      <c r="K9" s="32" t="s">
        <v>33</v>
      </c>
      <c r="L9" s="23"/>
      <c r="P9" s="24"/>
    </row>
    <row r="10" spans="2:17">
      <c r="B10" s="25" t="s">
        <v>8</v>
      </c>
      <c r="C10" s="26" t="s">
        <v>73</v>
      </c>
      <c r="D10" s="27">
        <v>1</v>
      </c>
      <c r="E10" s="28">
        <v>0.1</v>
      </c>
      <c r="F10" s="28">
        <v>0.1</v>
      </c>
      <c r="G10" s="29">
        <v>1</v>
      </c>
      <c r="H10" s="26" t="s">
        <v>63</v>
      </c>
      <c r="I10" s="30">
        <f>P11</f>
        <v>4.2</v>
      </c>
      <c r="J10" s="31">
        <f>(I10*G10)+(P11*E10)</f>
        <v>4.62</v>
      </c>
      <c r="K10" s="32" t="s">
        <v>133</v>
      </c>
      <c r="L10" s="23"/>
      <c r="P10" s="15" t="s">
        <v>160</v>
      </c>
      <c r="Q10" s="15" t="s">
        <v>161</v>
      </c>
    </row>
    <row r="11" spans="2:17" ht="13.8" thickBot="1">
      <c r="B11" s="33" t="s">
        <v>8</v>
      </c>
      <c r="C11" s="34" t="s">
        <v>73</v>
      </c>
      <c r="D11" s="35"/>
      <c r="E11" s="36">
        <v>0.1</v>
      </c>
      <c r="F11" s="36"/>
      <c r="G11" s="37"/>
      <c r="H11" s="34" t="s">
        <v>39</v>
      </c>
      <c r="I11" s="38">
        <f>P12</f>
        <v>5</v>
      </c>
      <c r="J11" s="31">
        <f>P12*E11</f>
        <v>0.5</v>
      </c>
      <c r="K11" s="39" t="s">
        <v>132</v>
      </c>
      <c r="L11" s="23"/>
      <c r="N11" s="15" t="s">
        <v>77</v>
      </c>
      <c r="P11" s="24">
        <f>'Buğday K'!P11</f>
        <v>4.2</v>
      </c>
      <c r="Q11" s="15">
        <v>4.08</v>
      </c>
    </row>
    <row r="12" spans="2:17" ht="13.8" thickBot="1">
      <c r="B12" s="40" t="s">
        <v>9</v>
      </c>
      <c r="C12" s="41"/>
      <c r="D12" s="42"/>
      <c r="E12" s="43">
        <f>SUM(E7:E11)</f>
        <v>0.67999999999999994</v>
      </c>
      <c r="F12" s="44">
        <f>SUM(F7:F11)</f>
        <v>0.57999999999999996</v>
      </c>
      <c r="G12" s="45"/>
      <c r="H12" s="42"/>
      <c r="I12" s="46"/>
      <c r="J12" s="47">
        <f>SUM(J7:J11)</f>
        <v>28.52</v>
      </c>
      <c r="K12" s="48"/>
      <c r="L12" s="23"/>
      <c r="N12" t="s">
        <v>164</v>
      </c>
      <c r="P12" s="24">
        <f>'Buğday K'!P12</f>
        <v>5</v>
      </c>
    </row>
    <row r="13" spans="2:17">
      <c r="B13" s="2" t="s">
        <v>10</v>
      </c>
      <c r="C13" s="49"/>
      <c r="D13" s="50"/>
      <c r="E13" s="51"/>
      <c r="F13" s="51"/>
      <c r="G13" s="52"/>
      <c r="H13" s="49"/>
      <c r="I13" s="53"/>
      <c r="J13" s="53"/>
      <c r="K13" s="22"/>
      <c r="L13" s="23"/>
      <c r="N13" s="15" t="s">
        <v>56</v>
      </c>
      <c r="P13" s="24">
        <f>'Buğday K'!P13</f>
        <v>12</v>
      </c>
    </row>
    <row r="14" spans="2:17">
      <c r="B14" s="54" t="s">
        <v>11</v>
      </c>
      <c r="C14" s="55" t="s">
        <v>53</v>
      </c>
      <c r="D14" s="56">
        <v>1</v>
      </c>
      <c r="E14" s="57">
        <v>0.09</v>
      </c>
      <c r="F14" s="57">
        <v>0.09</v>
      </c>
      <c r="G14" s="58">
        <v>0.5</v>
      </c>
      <c r="H14" s="55" t="s">
        <v>63</v>
      </c>
      <c r="I14" s="59">
        <f>Q11</f>
        <v>4.08</v>
      </c>
      <c r="J14" s="31">
        <f>(P12*E14)+(G14*I14)</f>
        <v>2.4900000000000002</v>
      </c>
      <c r="K14" s="60" t="s">
        <v>37</v>
      </c>
      <c r="L14" s="23"/>
      <c r="N14" s="15" t="s">
        <v>16</v>
      </c>
      <c r="P14" s="24">
        <f>'Buğday K'!P14</f>
        <v>35</v>
      </c>
    </row>
    <row r="15" spans="2:17">
      <c r="B15" s="25" t="s">
        <v>11</v>
      </c>
      <c r="C15" s="26" t="s">
        <v>53</v>
      </c>
      <c r="D15" s="27"/>
      <c r="E15" s="28">
        <v>0.09</v>
      </c>
      <c r="F15" s="28"/>
      <c r="G15" s="29"/>
      <c r="H15" s="26" t="s">
        <v>39</v>
      </c>
      <c r="I15" s="59">
        <f>P12</f>
        <v>5</v>
      </c>
      <c r="J15" s="30">
        <f>I15*E15</f>
        <v>0.44999999999999996</v>
      </c>
      <c r="K15" s="32" t="s">
        <v>36</v>
      </c>
      <c r="L15" s="23"/>
      <c r="N15" s="15" t="s">
        <v>23</v>
      </c>
      <c r="P15" s="24">
        <v>60</v>
      </c>
    </row>
    <row r="16" spans="2:17">
      <c r="B16" s="54" t="s">
        <v>12</v>
      </c>
      <c r="C16" s="55" t="s">
        <v>31</v>
      </c>
      <c r="D16" s="56">
        <v>1</v>
      </c>
      <c r="E16" s="57">
        <v>0.08</v>
      </c>
      <c r="F16" s="57">
        <v>0.08</v>
      </c>
      <c r="G16" s="58">
        <v>0.5</v>
      </c>
      <c r="H16" s="55" t="s">
        <v>63</v>
      </c>
      <c r="I16" s="59">
        <f>Q11</f>
        <v>4.08</v>
      </c>
      <c r="J16" s="31">
        <f>(G16*I16)</f>
        <v>2.04</v>
      </c>
      <c r="K16" s="60" t="s">
        <v>38</v>
      </c>
      <c r="L16" s="23"/>
      <c r="N16" s="15" t="s">
        <v>69</v>
      </c>
      <c r="O16" s="61"/>
      <c r="P16" s="24">
        <f>'Buğday K'!P16</f>
        <v>1.5</v>
      </c>
    </row>
    <row r="17" spans="2:26">
      <c r="B17" s="25" t="s">
        <v>12</v>
      </c>
      <c r="C17" s="26" t="s">
        <v>31</v>
      </c>
      <c r="D17" s="27"/>
      <c r="E17" s="28">
        <v>0.08</v>
      </c>
      <c r="F17" s="62"/>
      <c r="G17" s="29"/>
      <c r="H17" s="26" t="s">
        <v>39</v>
      </c>
      <c r="I17" s="59">
        <f>P12</f>
        <v>5</v>
      </c>
      <c r="J17" s="31">
        <f>(I17*E17)</f>
        <v>0.4</v>
      </c>
      <c r="K17" s="63" t="s">
        <v>36</v>
      </c>
      <c r="L17" s="23"/>
      <c r="N17" s="15" t="s">
        <v>57</v>
      </c>
      <c r="P17" s="24">
        <f>'Buğday K'!P17</f>
        <v>150</v>
      </c>
      <c r="Q17" s="64" t="s">
        <v>154</v>
      </c>
      <c r="R17" s="15" t="s">
        <v>155</v>
      </c>
    </row>
    <row r="18" spans="2:26" ht="13.8" thickBot="1">
      <c r="B18" s="25" t="s">
        <v>75</v>
      </c>
      <c r="C18" s="26" t="s">
        <v>55</v>
      </c>
      <c r="D18" s="27">
        <v>2</v>
      </c>
      <c r="E18" s="28">
        <v>2.77</v>
      </c>
      <c r="F18" s="62">
        <v>1.5</v>
      </c>
      <c r="G18" s="118">
        <v>3</v>
      </c>
      <c r="H18" s="26" t="s">
        <v>63</v>
      </c>
      <c r="I18" s="59">
        <f>Q11</f>
        <v>4.08</v>
      </c>
      <c r="J18" s="31">
        <f>D18*((I18*G18)+(E18*P12))</f>
        <v>52.18</v>
      </c>
      <c r="K18" s="32" t="s">
        <v>76</v>
      </c>
      <c r="N18" s="15" t="s">
        <v>59</v>
      </c>
      <c r="P18" s="24">
        <f>'Buğday K'!P18</f>
        <v>16.8</v>
      </c>
    </row>
    <row r="19" spans="2:26" ht="13.8" thickBot="1">
      <c r="B19" s="40" t="s">
        <v>9</v>
      </c>
      <c r="C19" s="65"/>
      <c r="D19" s="66"/>
      <c r="E19" s="44">
        <f>SUM(E14:E18)</f>
        <v>3.11</v>
      </c>
      <c r="F19" s="44">
        <f>SUM(F14:F18)</f>
        <v>1.67</v>
      </c>
      <c r="G19" s="67"/>
      <c r="H19" s="41"/>
      <c r="I19" s="68"/>
      <c r="J19" s="47">
        <f>SUM(J14:J18)</f>
        <v>57.56</v>
      </c>
      <c r="K19" s="48"/>
      <c r="L19" s="23"/>
      <c r="N19" s="15" t="s">
        <v>79</v>
      </c>
      <c r="P19" s="24">
        <f>'Buğday K'!P19</f>
        <v>1.25</v>
      </c>
    </row>
    <row r="20" spans="2:26">
      <c r="B20" s="2" t="s">
        <v>13</v>
      </c>
      <c r="C20" s="20"/>
      <c r="D20" s="21"/>
      <c r="E20" s="51"/>
      <c r="F20" s="51"/>
      <c r="G20" s="52"/>
      <c r="H20" s="49"/>
      <c r="I20" s="53"/>
      <c r="J20" s="53"/>
      <c r="K20" s="22"/>
      <c r="L20" s="23"/>
      <c r="N20" s="15" t="s">
        <v>80</v>
      </c>
      <c r="P20" s="24">
        <f>'Buğday K'!P20</f>
        <v>20</v>
      </c>
    </row>
    <row r="21" spans="2:26">
      <c r="B21" s="54" t="s">
        <v>14</v>
      </c>
      <c r="C21" s="55" t="s">
        <v>46</v>
      </c>
      <c r="D21" s="56">
        <v>1</v>
      </c>
      <c r="E21" s="57">
        <v>0.12</v>
      </c>
      <c r="F21" s="57">
        <v>0.12</v>
      </c>
      <c r="G21" s="58"/>
      <c r="H21" s="55" t="s">
        <v>63</v>
      </c>
      <c r="I21" s="59">
        <f>P13</f>
        <v>12</v>
      </c>
      <c r="J21" s="31">
        <f>(I21*D21)</f>
        <v>12</v>
      </c>
      <c r="K21" s="60" t="s">
        <v>41</v>
      </c>
      <c r="L21" s="23"/>
      <c r="N21" s="15" t="s">
        <v>153</v>
      </c>
      <c r="O21" s="61"/>
      <c r="P21" s="24">
        <f>'Buğday K'!P21</f>
        <v>25</v>
      </c>
      <c r="Q21" s="61"/>
    </row>
    <row r="22" spans="2:26">
      <c r="B22" s="54" t="s">
        <v>15</v>
      </c>
      <c r="C22" s="55" t="s">
        <v>46</v>
      </c>
      <c r="D22" s="69"/>
      <c r="E22" s="57">
        <v>0.12</v>
      </c>
      <c r="F22" s="57"/>
      <c r="G22" s="58"/>
      <c r="H22" s="55" t="s">
        <v>39</v>
      </c>
      <c r="I22" s="59">
        <f>P12</f>
        <v>5</v>
      </c>
      <c r="J22" s="30">
        <f>(I22*E22)</f>
        <v>0.6</v>
      </c>
      <c r="K22" s="60" t="s">
        <v>36</v>
      </c>
      <c r="L22" s="23"/>
      <c r="O22" s="61"/>
      <c r="P22" s="23"/>
      <c r="Q22" s="14"/>
      <c r="R22" s="14"/>
      <c r="S22" s="74"/>
      <c r="T22" s="74"/>
      <c r="U22" s="23"/>
      <c r="V22" s="14"/>
      <c r="W22" s="75"/>
      <c r="X22" s="75"/>
      <c r="Y22" s="23"/>
      <c r="Z22" s="23"/>
    </row>
    <row r="23" spans="2:26" ht="13.8" thickBot="1">
      <c r="B23" s="33" t="s">
        <v>16</v>
      </c>
      <c r="C23" s="34" t="s">
        <v>46</v>
      </c>
      <c r="D23" s="70"/>
      <c r="E23" s="71">
        <v>0.05</v>
      </c>
      <c r="F23" s="71">
        <v>0.05</v>
      </c>
      <c r="G23" s="37"/>
      <c r="H23" s="34" t="s">
        <v>40</v>
      </c>
      <c r="I23" s="72">
        <f>P14/2000</f>
        <v>1.7500000000000002E-2</v>
      </c>
      <c r="J23" s="30">
        <f>I23*E43</f>
        <v>8.75</v>
      </c>
      <c r="K23" s="73" t="s">
        <v>42</v>
      </c>
      <c r="L23" s="23"/>
      <c r="O23" s="61"/>
      <c r="Q23" s="61"/>
    </row>
    <row r="24" spans="2:26" ht="13.8" thickBot="1">
      <c r="B24" s="12" t="s">
        <v>9</v>
      </c>
      <c r="C24" s="65"/>
      <c r="D24" s="76"/>
      <c r="E24" s="77">
        <f>SUM(E21:E23)</f>
        <v>0.28999999999999998</v>
      </c>
      <c r="F24" s="77">
        <f>SUM(F21:F23)</f>
        <v>0.16999999999999998</v>
      </c>
      <c r="G24" s="65"/>
      <c r="H24" s="78"/>
      <c r="I24" s="79"/>
      <c r="J24" s="47">
        <f>SUM(J21:J23)</f>
        <v>21.35</v>
      </c>
      <c r="K24" s="80"/>
      <c r="L24" s="23"/>
      <c r="O24" s="82"/>
      <c r="Q24" s="61"/>
    </row>
    <row r="25" spans="2:26">
      <c r="B25" s="2" t="s">
        <v>17</v>
      </c>
      <c r="C25" s="81"/>
      <c r="D25" s="21"/>
      <c r="E25" s="20"/>
      <c r="F25" s="20"/>
      <c r="G25" s="20"/>
      <c r="H25" s="49"/>
      <c r="I25" s="53"/>
      <c r="J25" s="53"/>
      <c r="K25" s="22"/>
      <c r="L25" s="23"/>
    </row>
    <row r="26" spans="2:26">
      <c r="B26" s="54" t="s">
        <v>18</v>
      </c>
      <c r="C26" s="83"/>
      <c r="D26" s="69"/>
      <c r="E26" s="84"/>
      <c r="F26" s="84"/>
      <c r="G26" s="58">
        <f>P20</f>
        <v>20</v>
      </c>
      <c r="H26" s="55" t="s">
        <v>40</v>
      </c>
      <c r="I26" s="59">
        <f>P19</f>
        <v>1.25</v>
      </c>
      <c r="J26" s="31">
        <f>(I26*G26)</f>
        <v>25</v>
      </c>
      <c r="K26" s="60" t="s">
        <v>68</v>
      </c>
      <c r="L26" s="23"/>
    </row>
    <row r="27" spans="2:26">
      <c r="B27" s="54" t="s">
        <v>65</v>
      </c>
      <c r="C27" s="83"/>
      <c r="D27" s="69"/>
      <c r="E27" s="84"/>
      <c r="F27" s="84"/>
      <c r="G27" s="58">
        <f>O28</f>
        <v>20</v>
      </c>
      <c r="H27" s="55" t="s">
        <v>40</v>
      </c>
      <c r="I27" s="59">
        <f>Q28</f>
        <v>1.4</v>
      </c>
      <c r="J27" s="31">
        <f>(I27*G27)</f>
        <v>28</v>
      </c>
      <c r="K27" s="60" t="s">
        <v>43</v>
      </c>
      <c r="L27" s="23"/>
      <c r="O27" s="61" t="s">
        <v>74</v>
      </c>
      <c r="P27" s="61" t="s">
        <v>3</v>
      </c>
      <c r="Q27" s="61" t="s">
        <v>58</v>
      </c>
    </row>
    <row r="28" spans="2:26">
      <c r="B28" s="54" t="s">
        <v>66</v>
      </c>
      <c r="C28" s="83"/>
      <c r="D28" s="69"/>
      <c r="E28" s="84"/>
      <c r="F28" s="84"/>
      <c r="G28" s="58">
        <f>O29</f>
        <v>25</v>
      </c>
      <c r="H28" s="55" t="s">
        <v>40</v>
      </c>
      <c r="I28" s="59">
        <f>Q29</f>
        <v>0.95</v>
      </c>
      <c r="J28" s="31">
        <f>(I28*G28)</f>
        <v>23.75</v>
      </c>
      <c r="K28" s="60" t="s">
        <v>67</v>
      </c>
      <c r="L28" s="23"/>
      <c r="N28" s="23" t="s">
        <v>43</v>
      </c>
      <c r="O28" s="61">
        <v>20</v>
      </c>
      <c r="P28" s="24">
        <f>(Q28*O28)</f>
        <v>28</v>
      </c>
      <c r="Q28" s="64">
        <f>'Buğday K'!Q29</f>
        <v>1.4</v>
      </c>
    </row>
    <row r="29" spans="2:26">
      <c r="B29" s="54" t="s">
        <v>153</v>
      </c>
      <c r="C29" s="83"/>
      <c r="D29" s="69"/>
      <c r="E29" s="84"/>
      <c r="F29" s="84"/>
      <c r="G29" s="124">
        <v>0.25</v>
      </c>
      <c r="H29" s="55" t="s">
        <v>40</v>
      </c>
      <c r="I29" s="59">
        <f>P21</f>
        <v>25</v>
      </c>
      <c r="J29" s="31">
        <f>I29*G29</f>
        <v>6.25</v>
      </c>
      <c r="K29" s="60" t="s">
        <v>153</v>
      </c>
      <c r="L29" s="23"/>
      <c r="N29" s="15" t="s">
        <v>156</v>
      </c>
      <c r="O29" s="61">
        <v>25</v>
      </c>
      <c r="P29" s="24">
        <f>(Q29*O29)</f>
        <v>23.75</v>
      </c>
      <c r="Q29" s="64">
        <f>'Buğday K'!Q30</f>
        <v>0.95</v>
      </c>
    </row>
    <row r="30" spans="2:26">
      <c r="B30" s="54" t="s">
        <v>69</v>
      </c>
      <c r="C30" s="83"/>
      <c r="D30" s="56">
        <v>1</v>
      </c>
      <c r="E30" s="84"/>
      <c r="F30" s="84"/>
      <c r="G30" s="58"/>
      <c r="H30" s="55" t="s">
        <v>63</v>
      </c>
      <c r="I30" s="59">
        <f>P16</f>
        <v>1.5</v>
      </c>
      <c r="J30" s="31">
        <f>P16</f>
        <v>1.5</v>
      </c>
      <c r="K30" s="60" t="s">
        <v>70</v>
      </c>
      <c r="L30" s="23"/>
    </row>
    <row r="31" spans="2:26">
      <c r="B31" s="25" t="s">
        <v>19</v>
      </c>
      <c r="C31" s="85"/>
      <c r="D31" s="86"/>
      <c r="E31" s="87"/>
      <c r="F31" s="87"/>
      <c r="G31" s="87">
        <v>0.05</v>
      </c>
      <c r="H31" s="26" t="s">
        <v>40</v>
      </c>
      <c r="I31" s="30">
        <f>P17</f>
        <v>150</v>
      </c>
      <c r="J31" s="31">
        <f>(I31*G31)</f>
        <v>7.5</v>
      </c>
      <c r="K31" s="32" t="s">
        <v>44</v>
      </c>
      <c r="L31" s="23"/>
      <c r="Q31" s="64"/>
    </row>
    <row r="32" spans="2:26" ht="13.8" thickBot="1">
      <c r="B32" s="88" t="s">
        <v>52</v>
      </c>
      <c r="C32" s="89"/>
      <c r="D32" s="140">
        <v>1</v>
      </c>
      <c r="E32" s="91"/>
      <c r="F32" s="91"/>
      <c r="G32" s="91"/>
      <c r="H32" s="92" t="s">
        <v>63</v>
      </c>
      <c r="I32" s="38">
        <f>P18</f>
        <v>16.8</v>
      </c>
      <c r="J32" s="72">
        <f>P18</f>
        <v>16.8</v>
      </c>
      <c r="K32" s="39" t="s">
        <v>78</v>
      </c>
      <c r="L32" s="23"/>
    </row>
    <row r="33" spans="2:12" ht="13.8" thickBot="1">
      <c r="B33" s="40" t="s">
        <v>9</v>
      </c>
      <c r="C33" s="93"/>
      <c r="D33" s="66"/>
      <c r="E33" s="65"/>
      <c r="F33" s="65"/>
      <c r="G33" s="65"/>
      <c r="H33" s="65"/>
      <c r="I33" s="65"/>
      <c r="J33" s="47">
        <f>SUM(J26:J32)</f>
        <v>108.8</v>
      </c>
      <c r="K33" s="48"/>
      <c r="L33" s="23"/>
    </row>
    <row r="34" spans="2:12" ht="13.8" thickBot="1">
      <c r="B34" s="40" t="s">
        <v>20</v>
      </c>
      <c r="C34" s="94"/>
      <c r="D34" s="66"/>
      <c r="E34" s="65"/>
      <c r="F34" s="65"/>
      <c r="G34" s="65"/>
      <c r="H34" s="65"/>
      <c r="I34" s="65"/>
      <c r="J34" s="47">
        <f>(J12+J19+J24+J33)</f>
        <v>216.23000000000002</v>
      </c>
      <c r="K34" s="48"/>
      <c r="L34" s="23"/>
    </row>
    <row r="35" spans="2:12">
      <c r="B35" s="2" t="s">
        <v>21</v>
      </c>
      <c r="C35" s="81"/>
      <c r="D35" s="21"/>
      <c r="E35" s="20"/>
      <c r="F35" s="20"/>
      <c r="G35" s="20"/>
      <c r="H35" s="20"/>
      <c r="I35" s="20"/>
      <c r="J35" s="53"/>
      <c r="K35" s="22"/>
      <c r="L35" s="23"/>
    </row>
    <row r="36" spans="2:12">
      <c r="B36" s="25" t="s">
        <v>22</v>
      </c>
      <c r="C36" s="85"/>
      <c r="D36" s="86"/>
      <c r="E36" s="87"/>
      <c r="F36" s="87"/>
      <c r="G36" s="87"/>
      <c r="H36" s="87"/>
      <c r="I36" s="87"/>
      <c r="J36" s="30">
        <f>J34*0.05</f>
        <v>10.811500000000002</v>
      </c>
      <c r="K36" s="32"/>
      <c r="L36" s="23"/>
    </row>
    <row r="37" spans="2:12">
      <c r="B37" s="25" t="s">
        <v>23</v>
      </c>
      <c r="C37" s="85"/>
      <c r="D37" s="86"/>
      <c r="E37" s="87"/>
      <c r="F37" s="87"/>
      <c r="G37" s="87"/>
      <c r="H37" s="87"/>
      <c r="I37" s="87"/>
      <c r="J37" s="30">
        <f>P15</f>
        <v>60</v>
      </c>
      <c r="K37" s="32"/>
      <c r="L37" s="23"/>
    </row>
    <row r="38" spans="2:12">
      <c r="B38" s="25" t="s">
        <v>24</v>
      </c>
      <c r="C38" s="85"/>
      <c r="D38" s="86"/>
      <c r="E38" s="87"/>
      <c r="F38" s="87"/>
      <c r="G38" s="87"/>
      <c r="H38" s="87"/>
      <c r="I38" s="87"/>
      <c r="J38" s="30">
        <f>((J34+J36+J37)*0.05)</f>
        <v>14.352075000000003</v>
      </c>
      <c r="K38" s="32"/>
      <c r="L38" s="23"/>
    </row>
    <row r="39" spans="2:12">
      <c r="B39" s="95" t="s">
        <v>25</v>
      </c>
      <c r="C39" s="83"/>
      <c r="D39" s="96"/>
      <c r="E39" s="97"/>
      <c r="F39" s="97"/>
      <c r="G39" s="97"/>
      <c r="H39" s="97"/>
      <c r="I39" s="97"/>
      <c r="J39" s="98">
        <f>((J34+J36+J37)*0.03)</f>
        <v>8.6112450000000003</v>
      </c>
      <c r="K39" s="73"/>
      <c r="L39" s="23"/>
    </row>
    <row r="40" spans="2:12" ht="13.8" thickBot="1">
      <c r="B40" s="99" t="s">
        <v>9</v>
      </c>
      <c r="C40" s="93"/>
      <c r="D40" s="100"/>
      <c r="E40" s="101"/>
      <c r="F40" s="101"/>
      <c r="G40" s="101"/>
      <c r="H40" s="101"/>
      <c r="I40" s="101"/>
      <c r="J40" s="102">
        <f>SUM(J36:J39)</f>
        <v>93.774819999999991</v>
      </c>
      <c r="K40" s="103"/>
      <c r="L40" s="23"/>
    </row>
    <row r="41" spans="2:12" ht="13.8" thickBot="1">
      <c r="B41" s="1" t="s">
        <v>26</v>
      </c>
      <c r="C41" s="94"/>
      <c r="D41" s="66"/>
      <c r="E41" s="44">
        <v>1.32</v>
      </c>
      <c r="F41" s="44">
        <v>0.81</v>
      </c>
      <c r="G41" s="65"/>
      <c r="H41" s="65"/>
      <c r="I41" s="65"/>
      <c r="J41" s="47">
        <f>(J34+J40)</f>
        <v>310.00482</v>
      </c>
      <c r="K41" s="48"/>
      <c r="L41" s="23"/>
    </row>
    <row r="42" spans="2:12" ht="13.8" thickBot="1">
      <c r="B42" s="23"/>
      <c r="C42" s="23"/>
      <c r="D42" s="23"/>
      <c r="E42" s="104"/>
      <c r="F42" s="104"/>
      <c r="G42" s="23"/>
      <c r="H42" s="23"/>
      <c r="I42" s="23"/>
      <c r="J42" s="23"/>
      <c r="K42" s="23"/>
      <c r="L42" s="23"/>
    </row>
    <row r="43" spans="2:12">
      <c r="B43" s="105" t="s">
        <v>27</v>
      </c>
      <c r="C43" s="106" t="s">
        <v>61</v>
      </c>
      <c r="D43" s="50"/>
      <c r="E43" s="107">
        <v>500</v>
      </c>
      <c r="F43" s="50"/>
      <c r="G43" s="108"/>
      <c r="H43" s="108"/>
      <c r="I43" s="108"/>
      <c r="J43" s="108"/>
      <c r="K43" s="22"/>
      <c r="L43" s="23"/>
    </row>
    <row r="44" spans="2:12">
      <c r="B44" s="25" t="s">
        <v>28</v>
      </c>
      <c r="C44" s="109" t="s">
        <v>62</v>
      </c>
      <c r="D44" s="109"/>
      <c r="E44" s="110">
        <v>24</v>
      </c>
      <c r="F44" s="111"/>
      <c r="G44" s="147" t="s">
        <v>191</v>
      </c>
      <c r="H44" s="23"/>
      <c r="I44" s="23"/>
      <c r="J44" s="23"/>
      <c r="K44" s="73"/>
      <c r="L44" s="23"/>
    </row>
    <row r="45" spans="2:12">
      <c r="B45" s="25" t="s">
        <v>29</v>
      </c>
      <c r="C45" s="109" t="s">
        <v>62</v>
      </c>
      <c r="D45" s="109"/>
      <c r="E45" s="110">
        <f>(J41-E44)</f>
        <v>286.00482</v>
      </c>
      <c r="F45" s="111"/>
      <c r="G45" s="112"/>
      <c r="H45" s="112"/>
      <c r="I45" s="112"/>
      <c r="J45" s="112"/>
      <c r="K45" s="32"/>
      <c r="L45" s="23"/>
    </row>
    <row r="46" spans="2:12">
      <c r="B46" s="25" t="s">
        <v>29</v>
      </c>
      <c r="C46" s="109" t="s">
        <v>30</v>
      </c>
      <c r="D46" s="109"/>
      <c r="E46" s="110">
        <f>(E45/E43)</f>
        <v>0.57200963999999999</v>
      </c>
      <c r="F46" s="111"/>
      <c r="G46" s="23"/>
      <c r="H46" s="23"/>
      <c r="I46" s="23"/>
      <c r="J46" s="23"/>
      <c r="K46" s="73"/>
      <c r="L46" s="23"/>
    </row>
    <row r="47" spans="2:12" ht="13.8" thickBot="1">
      <c r="B47" s="99" t="s">
        <v>71</v>
      </c>
      <c r="C47" s="113" t="s">
        <v>30</v>
      </c>
      <c r="D47" s="113"/>
      <c r="E47" s="114">
        <f>E46*1.3</f>
        <v>0.74361253199999999</v>
      </c>
      <c r="F47" s="115"/>
      <c r="G47" s="89"/>
      <c r="H47" s="89"/>
      <c r="I47" s="89"/>
      <c r="J47" s="89"/>
      <c r="K47" s="116"/>
      <c r="L47" s="23"/>
    </row>
    <row r="48" spans="2:12">
      <c r="B48" s="23"/>
      <c r="C48" s="14"/>
      <c r="D48" s="14"/>
      <c r="E48" s="117">
        <f>'Buğday K'!E45</f>
        <v>0.79014072222222209</v>
      </c>
      <c r="F48" s="117"/>
      <c r="G48" s="23"/>
      <c r="H48" s="23"/>
      <c r="I48" s="23"/>
      <c r="J48" s="23"/>
      <c r="K48" s="23"/>
      <c r="L48" s="23"/>
    </row>
    <row r="49" spans="2:12">
      <c r="B49" s="23"/>
      <c r="C49" s="14"/>
      <c r="D49" s="14"/>
      <c r="E49" s="117"/>
      <c r="F49" s="117"/>
      <c r="G49" s="23"/>
      <c r="H49" s="23"/>
      <c r="I49" s="23"/>
      <c r="J49" s="23"/>
      <c r="K49" s="23"/>
      <c r="L49" s="23"/>
    </row>
    <row r="50" spans="2:12">
      <c r="B50" s="15" t="s">
        <v>72</v>
      </c>
      <c r="L50" s="23"/>
    </row>
    <row r="51" spans="2:12">
      <c r="B51" s="15" t="s">
        <v>158</v>
      </c>
    </row>
    <row r="72" spans="9:10">
      <c r="I72" s="182"/>
      <c r="J72" s="182"/>
    </row>
    <row r="73" spans="9:10">
      <c r="I73" s="173"/>
      <c r="J73" s="173"/>
    </row>
    <row r="74" spans="9:10">
      <c r="I74" s="173"/>
      <c r="J74" s="173"/>
    </row>
    <row r="75" spans="9:10">
      <c r="I75" s="173"/>
      <c r="J75" s="173"/>
    </row>
    <row r="76" spans="9:10">
      <c r="I76" s="173"/>
      <c r="J76" s="173"/>
    </row>
    <row r="77" spans="9:10">
      <c r="I77" s="173"/>
      <c r="J77" s="173"/>
    </row>
    <row r="78" spans="9:10">
      <c r="I78" s="173"/>
      <c r="J78" s="173"/>
    </row>
  </sheetData>
  <customSheetViews>
    <customSheetView guid="{8B6B86C0-2F1B-11D5-9D92-00606708EF55}" scale="75" showRuler="0" topLeftCell="A17">
      <selection activeCell="H47" sqref="H47"/>
      <pageMargins left="0.74803149606299213" right="0.74803149606299213" top="0.39370078740157483" bottom="0.39370078740157483" header="0.51181102362204722" footer="0.51181102362204722"/>
      <printOptions horizontalCentered="1" verticalCentered="1"/>
      <pageSetup paperSize="9" scale="90" orientation="landscape" r:id="rId1"/>
      <headerFooter alignWithMargins="0"/>
    </customSheetView>
  </customSheetViews>
  <mergeCells count="10">
    <mergeCell ref="C3:D5"/>
    <mergeCell ref="E3:F3"/>
    <mergeCell ref="E4:F4"/>
    <mergeCell ref="I76:J76"/>
    <mergeCell ref="I78:J78"/>
    <mergeCell ref="I72:J72"/>
    <mergeCell ref="I73:J73"/>
    <mergeCell ref="I74:J74"/>
    <mergeCell ref="I75:J75"/>
    <mergeCell ref="I77:J77"/>
  </mergeCells>
  <phoneticPr fontId="2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8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9"/>
  <sheetViews>
    <sheetView zoomScale="75" workbookViewId="0">
      <selection activeCell="J2" sqref="J2"/>
    </sheetView>
  </sheetViews>
  <sheetFormatPr defaultColWidth="9.109375" defaultRowHeight="13.2"/>
  <cols>
    <col min="1" max="1" width="2.6640625" style="15" customWidth="1"/>
    <col min="2" max="2" width="26.44140625" style="15" customWidth="1"/>
    <col min="3" max="3" width="13.88671875" style="15" customWidth="1"/>
    <col min="4" max="4" width="4.88671875" style="15" customWidth="1"/>
    <col min="5" max="5" width="9.88671875" style="15" bestFit="1" customWidth="1"/>
    <col min="6" max="6" width="10.6640625" style="15" customWidth="1"/>
    <col min="7" max="8" width="9.109375" style="15"/>
    <col min="9" max="9" width="11.33203125" style="15" customWidth="1"/>
    <col min="10" max="10" width="13.44140625" style="15" customWidth="1"/>
    <col min="11" max="11" width="19" style="15" customWidth="1"/>
    <col min="12" max="12" width="8.109375" style="15" customWidth="1"/>
    <col min="13" max="13" width="5.109375" style="15" customWidth="1"/>
    <col min="14" max="14" width="21" style="15" customWidth="1"/>
    <col min="15" max="15" width="7" style="15" customWidth="1"/>
    <col min="16" max="16" width="11.44140625" style="15" customWidth="1"/>
    <col min="17" max="17" width="12.33203125" style="15" customWidth="1"/>
    <col min="18" max="16384" width="9.109375" style="15"/>
  </cols>
  <sheetData>
    <row r="1" spans="2:16" s="9" customFormat="1">
      <c r="B1" t="s">
        <v>200</v>
      </c>
      <c r="I1"/>
      <c r="J1"/>
    </row>
    <row r="2" spans="2:16" s="9" customFormat="1" ht="13.8" thickBot="1"/>
    <row r="3" spans="2:16">
      <c r="B3" s="10"/>
      <c r="C3" s="176" t="s">
        <v>50</v>
      </c>
      <c r="D3" s="177"/>
      <c r="E3" s="175" t="s">
        <v>47</v>
      </c>
      <c r="F3" s="175"/>
      <c r="G3" s="11"/>
      <c r="H3" s="12"/>
      <c r="I3" s="11"/>
      <c r="J3" s="11"/>
      <c r="K3" s="13"/>
      <c r="L3" s="14"/>
    </row>
    <row r="4" spans="2:16" ht="13.8" thickBot="1">
      <c r="B4" s="3" t="s">
        <v>45</v>
      </c>
      <c r="C4" s="178"/>
      <c r="D4" s="179"/>
      <c r="E4" s="174" t="s">
        <v>64</v>
      </c>
      <c r="F4" s="174"/>
      <c r="G4" s="4" t="s">
        <v>0</v>
      </c>
      <c r="H4" s="3" t="s">
        <v>1</v>
      </c>
      <c r="I4" s="4" t="s">
        <v>2</v>
      </c>
      <c r="J4" s="4" t="s">
        <v>3</v>
      </c>
      <c r="K4" s="8" t="s">
        <v>4</v>
      </c>
      <c r="L4" s="16"/>
    </row>
    <row r="5" spans="2:16" ht="13.8" thickBot="1">
      <c r="B5" s="17"/>
      <c r="C5" s="180"/>
      <c r="D5" s="181"/>
      <c r="E5" s="6" t="s">
        <v>48</v>
      </c>
      <c r="F5" s="7" t="s">
        <v>49</v>
      </c>
      <c r="G5" s="18"/>
      <c r="H5" s="17"/>
      <c r="I5" s="5" t="s">
        <v>163</v>
      </c>
      <c r="J5" s="5" t="s">
        <v>163</v>
      </c>
      <c r="K5" s="19"/>
      <c r="L5" s="14"/>
    </row>
    <row r="6" spans="2:16">
      <c r="B6" s="2" t="s">
        <v>5</v>
      </c>
      <c r="C6" s="20"/>
      <c r="D6" s="21"/>
      <c r="E6" s="20"/>
      <c r="F6" s="20"/>
      <c r="G6" s="20"/>
      <c r="H6" s="20"/>
      <c r="I6" s="20"/>
      <c r="J6" s="21"/>
      <c r="K6" s="22"/>
      <c r="L6" s="23"/>
      <c r="P6" s="24"/>
    </row>
    <row r="7" spans="2:16">
      <c r="B7" s="25" t="s">
        <v>51</v>
      </c>
      <c r="C7" s="26" t="s">
        <v>54</v>
      </c>
      <c r="D7" s="27">
        <v>1</v>
      </c>
      <c r="E7" s="28">
        <v>0.59</v>
      </c>
      <c r="F7" s="28">
        <v>0.59</v>
      </c>
      <c r="G7" s="29">
        <v>2</v>
      </c>
      <c r="H7" s="26" t="s">
        <v>63</v>
      </c>
      <c r="I7" s="30">
        <f>P11</f>
        <v>4.08</v>
      </c>
      <c r="J7" s="31">
        <f>D7*(G7*I7)+(E7*P12)</f>
        <v>11.11</v>
      </c>
      <c r="K7" s="32" t="s">
        <v>32</v>
      </c>
      <c r="L7" s="23"/>
      <c r="P7" s="24"/>
    </row>
    <row r="8" spans="2:16">
      <c r="B8" s="25" t="s">
        <v>87</v>
      </c>
      <c r="C8" s="26" t="s">
        <v>86</v>
      </c>
      <c r="D8" s="27"/>
      <c r="E8" s="28">
        <v>0.14000000000000001</v>
      </c>
      <c r="F8" s="28">
        <v>0.14000000000000001</v>
      </c>
      <c r="G8" s="29">
        <v>1.5</v>
      </c>
      <c r="H8" s="26" t="s">
        <v>63</v>
      </c>
      <c r="I8" s="30">
        <f>P11</f>
        <v>4.08</v>
      </c>
      <c r="J8" s="31">
        <f>(I8*G8)+(P12*E8)</f>
        <v>6.82</v>
      </c>
      <c r="K8" s="32" t="s">
        <v>34</v>
      </c>
      <c r="L8" s="23"/>
      <c r="P8" s="24"/>
    </row>
    <row r="9" spans="2:16">
      <c r="B9" s="25" t="s">
        <v>7</v>
      </c>
      <c r="C9" s="26" t="s">
        <v>73</v>
      </c>
      <c r="D9" s="27">
        <v>1</v>
      </c>
      <c r="E9" s="28">
        <v>0.14000000000000001</v>
      </c>
      <c r="F9" s="28">
        <v>0.14000000000000001</v>
      </c>
      <c r="G9" s="29">
        <v>1.5</v>
      </c>
      <c r="H9" s="26" t="s">
        <v>63</v>
      </c>
      <c r="I9" s="30">
        <f>P11</f>
        <v>4.08</v>
      </c>
      <c r="J9" s="31">
        <f>(I9*G9)+(P12*E9)</f>
        <v>6.82</v>
      </c>
      <c r="K9" s="32" t="s">
        <v>33</v>
      </c>
      <c r="L9" s="23"/>
      <c r="P9" s="24"/>
    </row>
    <row r="10" spans="2:16">
      <c r="B10" s="25" t="s">
        <v>8</v>
      </c>
      <c r="C10" s="26" t="s">
        <v>73</v>
      </c>
      <c r="D10" s="27">
        <v>1</v>
      </c>
      <c r="E10" s="28">
        <v>0.08</v>
      </c>
      <c r="F10" s="28">
        <v>0.08</v>
      </c>
      <c r="G10" s="29">
        <v>1</v>
      </c>
      <c r="H10" s="26" t="s">
        <v>63</v>
      </c>
      <c r="I10" s="30">
        <f>P11</f>
        <v>4.08</v>
      </c>
      <c r="J10" s="31">
        <f>(I10*G10)+(P11*E10)</f>
        <v>4.4063999999999997</v>
      </c>
      <c r="K10" s="32" t="s">
        <v>133</v>
      </c>
      <c r="L10" s="23"/>
      <c r="P10" s="15" t="s">
        <v>161</v>
      </c>
    </row>
    <row r="11" spans="2:16" ht="13.8" thickBot="1">
      <c r="B11" s="33" t="s">
        <v>8</v>
      </c>
      <c r="C11" s="34" t="s">
        <v>73</v>
      </c>
      <c r="D11" s="35"/>
      <c r="E11" s="36">
        <v>0.08</v>
      </c>
      <c r="F11" s="36"/>
      <c r="G11" s="37"/>
      <c r="H11" s="34" t="s">
        <v>39</v>
      </c>
      <c r="I11" s="38">
        <f>P12</f>
        <v>5</v>
      </c>
      <c r="J11" s="31">
        <f>P12*E11</f>
        <v>0.4</v>
      </c>
      <c r="K11" s="39" t="s">
        <v>132</v>
      </c>
      <c r="L11" s="23"/>
      <c r="N11" s="15" t="s">
        <v>77</v>
      </c>
      <c r="P11" s="24">
        <v>4.08</v>
      </c>
    </row>
    <row r="12" spans="2:16" ht="13.8" thickBot="1">
      <c r="B12" s="40" t="s">
        <v>9</v>
      </c>
      <c r="C12" s="41"/>
      <c r="D12" s="42"/>
      <c r="E12" s="43">
        <f>SUM(E7:E11)</f>
        <v>1.03</v>
      </c>
      <c r="F12" s="44">
        <f>SUM(F7:F11)</f>
        <v>0.95</v>
      </c>
      <c r="G12" s="122"/>
      <c r="H12" s="42"/>
      <c r="I12" s="46"/>
      <c r="J12" s="47">
        <f>SUM(J7:J11)</f>
        <v>29.556399999999996</v>
      </c>
      <c r="K12" s="48"/>
      <c r="L12" s="23"/>
      <c r="N12" t="s">
        <v>164</v>
      </c>
      <c r="P12" s="24">
        <f>'Buğday S'!P12</f>
        <v>5</v>
      </c>
    </row>
    <row r="13" spans="2:16">
      <c r="B13" s="2" t="s">
        <v>10</v>
      </c>
      <c r="C13" s="49"/>
      <c r="D13" s="50"/>
      <c r="E13" s="51"/>
      <c r="F13" s="51"/>
      <c r="G13" s="123"/>
      <c r="H13" s="49"/>
      <c r="I13" s="53"/>
      <c r="J13" s="53"/>
      <c r="K13" s="22"/>
      <c r="L13" s="23"/>
      <c r="N13" t="s">
        <v>165</v>
      </c>
      <c r="P13" s="24">
        <v>4</v>
      </c>
    </row>
    <row r="14" spans="2:16">
      <c r="B14" s="54" t="s">
        <v>11</v>
      </c>
      <c r="C14" s="55" t="s">
        <v>53</v>
      </c>
      <c r="D14" s="56">
        <v>1</v>
      </c>
      <c r="E14" s="57">
        <v>0.09</v>
      </c>
      <c r="F14" s="57">
        <v>0.09</v>
      </c>
      <c r="G14" s="124">
        <v>0.5</v>
      </c>
      <c r="H14" s="55" t="s">
        <v>63</v>
      </c>
      <c r="I14" s="59">
        <f>P11</f>
        <v>4.08</v>
      </c>
      <c r="J14" s="31">
        <f>(P12*E14)+(G14*I14)</f>
        <v>2.4900000000000002</v>
      </c>
      <c r="K14" s="60" t="s">
        <v>37</v>
      </c>
      <c r="L14" s="23"/>
      <c r="N14" s="15" t="s">
        <v>16</v>
      </c>
      <c r="P14" s="24">
        <v>35</v>
      </c>
    </row>
    <row r="15" spans="2:16">
      <c r="B15" s="25" t="s">
        <v>11</v>
      </c>
      <c r="C15" s="26" t="s">
        <v>53</v>
      </c>
      <c r="D15" s="27"/>
      <c r="E15" s="28">
        <v>0.09</v>
      </c>
      <c r="F15" s="28"/>
      <c r="G15" s="120"/>
      <c r="H15" s="26" t="s">
        <v>39</v>
      </c>
      <c r="I15" s="30">
        <f>P12</f>
        <v>5</v>
      </c>
      <c r="J15" s="30">
        <f>I15*E15</f>
        <v>0.44999999999999996</v>
      </c>
      <c r="K15" s="32" t="s">
        <v>36</v>
      </c>
      <c r="L15" s="23"/>
      <c r="N15" s="15" t="s">
        <v>23</v>
      </c>
      <c r="P15" s="24">
        <v>150</v>
      </c>
    </row>
    <row r="16" spans="2:16">
      <c r="B16" s="54" t="s">
        <v>12</v>
      </c>
      <c r="C16" s="55" t="s">
        <v>85</v>
      </c>
      <c r="D16" s="56">
        <v>1</v>
      </c>
      <c r="E16" s="57">
        <v>0.08</v>
      </c>
      <c r="F16" s="57">
        <v>0.08</v>
      </c>
      <c r="G16" s="124">
        <v>0.5</v>
      </c>
      <c r="H16" s="55" t="s">
        <v>63</v>
      </c>
      <c r="I16" s="59">
        <f>P11</f>
        <v>4.08</v>
      </c>
      <c r="J16" s="31">
        <f>(G16*I16)</f>
        <v>2.04</v>
      </c>
      <c r="K16" s="60" t="s">
        <v>38</v>
      </c>
      <c r="L16" s="23"/>
      <c r="N16" s="15" t="s">
        <v>69</v>
      </c>
      <c r="O16" s="61"/>
      <c r="P16" s="24">
        <v>1.5</v>
      </c>
    </row>
    <row r="17" spans="2:26">
      <c r="B17" s="25" t="s">
        <v>12</v>
      </c>
      <c r="C17" s="26" t="s">
        <v>85</v>
      </c>
      <c r="D17" s="27"/>
      <c r="E17" s="28">
        <v>0.08</v>
      </c>
      <c r="F17" s="62"/>
      <c r="G17" s="120"/>
      <c r="H17" s="26" t="s">
        <v>39</v>
      </c>
      <c r="I17" s="30">
        <f>P12</f>
        <v>5</v>
      </c>
      <c r="J17" s="31">
        <f>(I17*E17)</f>
        <v>0.4</v>
      </c>
      <c r="K17" s="63" t="s">
        <v>36</v>
      </c>
      <c r="L17" s="23"/>
      <c r="N17" s="15" t="s">
        <v>57</v>
      </c>
      <c r="P17" s="24">
        <v>140</v>
      </c>
      <c r="Q17" s="64"/>
    </row>
    <row r="18" spans="2:26">
      <c r="B18" s="25" t="s">
        <v>75</v>
      </c>
      <c r="C18" s="26" t="s">
        <v>84</v>
      </c>
      <c r="D18" s="27">
        <v>4</v>
      </c>
      <c r="E18" s="28">
        <v>12</v>
      </c>
      <c r="F18" s="62">
        <v>1.8</v>
      </c>
      <c r="G18" s="125">
        <v>3</v>
      </c>
      <c r="H18" s="26" t="s">
        <v>63</v>
      </c>
      <c r="I18" s="119">
        <f>P11</f>
        <v>4.08</v>
      </c>
      <c r="J18" s="31">
        <f>(I18*(F18*G18)+(E18*P12))*D18</f>
        <v>328.12800000000004</v>
      </c>
      <c r="K18" s="32" t="s">
        <v>76</v>
      </c>
      <c r="N18" s="15" t="s">
        <v>59</v>
      </c>
      <c r="P18" s="15">
        <v>37</v>
      </c>
    </row>
    <row r="19" spans="2:26">
      <c r="B19" s="25" t="s">
        <v>137</v>
      </c>
      <c r="C19" s="26" t="s">
        <v>83</v>
      </c>
      <c r="D19" s="27">
        <v>3</v>
      </c>
      <c r="E19" s="28">
        <v>8</v>
      </c>
      <c r="F19" s="62"/>
      <c r="G19" s="125"/>
      <c r="H19" s="26" t="s">
        <v>39</v>
      </c>
      <c r="I19" s="30">
        <f>P19</f>
        <v>4</v>
      </c>
      <c r="J19" s="31">
        <f>D19*(I19*E19)</f>
        <v>96</v>
      </c>
      <c r="K19" s="32" t="s">
        <v>89</v>
      </c>
      <c r="N19" t="s">
        <v>165</v>
      </c>
      <c r="P19" s="126">
        <v>4</v>
      </c>
    </row>
    <row r="20" spans="2:26" ht="13.8" thickBot="1">
      <c r="B20" s="33" t="s">
        <v>9</v>
      </c>
      <c r="C20" s="127"/>
      <c r="D20" s="70"/>
      <c r="E20" s="36">
        <f>SUM(E14:E19)</f>
        <v>20.34</v>
      </c>
      <c r="F20" s="36">
        <f>SUM(F14:F18)</f>
        <v>1.97</v>
      </c>
      <c r="G20" s="128"/>
      <c r="H20" s="34"/>
      <c r="I20" s="129"/>
      <c r="J20" s="72">
        <f>SUM(J14:J19)</f>
        <v>429.50800000000004</v>
      </c>
      <c r="K20" s="39"/>
      <c r="L20" s="23"/>
      <c r="N20" s="15" t="s">
        <v>79</v>
      </c>
      <c r="P20" s="24">
        <v>140</v>
      </c>
    </row>
    <row r="21" spans="2:26">
      <c r="B21" s="2" t="s">
        <v>13</v>
      </c>
      <c r="C21" s="20"/>
      <c r="D21" s="21"/>
      <c r="E21" s="51"/>
      <c r="F21" s="51"/>
      <c r="G21" s="123"/>
      <c r="H21" s="49"/>
      <c r="I21" s="53"/>
      <c r="J21" s="53"/>
      <c r="K21" s="22"/>
      <c r="L21" s="23"/>
      <c r="N21" s="15" t="s">
        <v>80</v>
      </c>
      <c r="P21" s="24">
        <v>0.2</v>
      </c>
    </row>
    <row r="22" spans="2:26">
      <c r="B22" s="54" t="s">
        <v>90</v>
      </c>
      <c r="C22" s="55" t="s">
        <v>91</v>
      </c>
      <c r="D22" s="56">
        <v>1</v>
      </c>
      <c r="E22" s="57">
        <v>24</v>
      </c>
      <c r="F22" s="57"/>
      <c r="G22" s="124"/>
      <c r="H22" s="55" t="s">
        <v>39</v>
      </c>
      <c r="I22" s="59">
        <f>P19</f>
        <v>4</v>
      </c>
      <c r="J22" s="31">
        <f>I22*E22</f>
        <v>96</v>
      </c>
      <c r="K22" s="60" t="s">
        <v>89</v>
      </c>
      <c r="L22" s="23"/>
      <c r="O22" s="61"/>
      <c r="Q22" s="61"/>
    </row>
    <row r="23" spans="2:26">
      <c r="B23" s="54" t="s">
        <v>92</v>
      </c>
      <c r="C23" s="55" t="s">
        <v>91</v>
      </c>
      <c r="D23" s="69"/>
      <c r="E23" s="57">
        <v>1.5</v>
      </c>
      <c r="F23" s="57"/>
      <c r="G23" s="124"/>
      <c r="H23" s="55" t="s">
        <v>39</v>
      </c>
      <c r="I23" s="59">
        <f>P12</f>
        <v>5</v>
      </c>
      <c r="J23" s="30">
        <f>(I23*E23)</f>
        <v>7.5</v>
      </c>
      <c r="K23" s="60" t="s">
        <v>93</v>
      </c>
      <c r="L23" s="23"/>
      <c r="O23" s="61"/>
      <c r="P23" s="23"/>
      <c r="Q23" s="14"/>
      <c r="R23" s="14"/>
      <c r="S23" s="74"/>
      <c r="T23" s="74"/>
      <c r="U23" s="23"/>
      <c r="V23" s="14"/>
      <c r="W23" s="75"/>
      <c r="X23" s="75"/>
      <c r="Y23" s="23"/>
      <c r="Z23" s="23"/>
    </row>
    <row r="24" spans="2:26" ht="13.8" thickBot="1">
      <c r="B24" s="33" t="s">
        <v>16</v>
      </c>
      <c r="C24" s="34" t="s">
        <v>46</v>
      </c>
      <c r="D24" s="70"/>
      <c r="E24" s="71">
        <v>0.05</v>
      </c>
      <c r="F24" s="71">
        <v>0.05</v>
      </c>
      <c r="G24" s="121"/>
      <c r="H24" s="34" t="s">
        <v>63</v>
      </c>
      <c r="I24" s="130">
        <f>P14/5500</f>
        <v>6.3636363636363638E-3</v>
      </c>
      <c r="J24" s="30">
        <f>I24*E44</f>
        <v>39.772727272727273</v>
      </c>
      <c r="K24" s="73" t="s">
        <v>42</v>
      </c>
      <c r="L24" s="23"/>
      <c r="O24" s="61"/>
      <c r="Q24" s="61"/>
    </row>
    <row r="25" spans="2:26" ht="13.8" thickBot="1">
      <c r="B25" s="12" t="s">
        <v>9</v>
      </c>
      <c r="C25" s="65"/>
      <c r="D25" s="76"/>
      <c r="E25" s="77">
        <f>SUM(E22:E24)</f>
        <v>25.55</v>
      </c>
      <c r="F25" s="77">
        <f>SUM(F22:F24)</f>
        <v>0.05</v>
      </c>
      <c r="G25" s="122"/>
      <c r="H25" s="78"/>
      <c r="I25" s="79"/>
      <c r="J25" s="47">
        <f>SUM(J22:J24)</f>
        <v>143.27272727272728</v>
      </c>
      <c r="K25" s="80"/>
      <c r="L25" s="23"/>
      <c r="O25" s="82"/>
      <c r="Q25" s="61"/>
    </row>
    <row r="26" spans="2:26">
      <c r="B26" s="2" t="s">
        <v>17</v>
      </c>
      <c r="C26" s="81"/>
      <c r="D26" s="21"/>
      <c r="E26" s="20"/>
      <c r="F26" s="20"/>
      <c r="G26" s="123"/>
      <c r="H26" s="49"/>
      <c r="I26" s="53"/>
      <c r="J26" s="53"/>
      <c r="K26" s="22"/>
      <c r="L26" s="23"/>
    </row>
    <row r="27" spans="2:26">
      <c r="B27" s="54" t="s">
        <v>18</v>
      </c>
      <c r="C27" s="83"/>
      <c r="D27" s="69"/>
      <c r="E27" s="84"/>
      <c r="F27" s="84"/>
      <c r="G27" s="124">
        <f>P21</f>
        <v>0.2</v>
      </c>
      <c r="H27" s="55" t="s">
        <v>40</v>
      </c>
      <c r="I27" s="59">
        <f>P20</f>
        <v>140</v>
      </c>
      <c r="J27" s="31">
        <f>(I27*G27)</f>
        <v>28</v>
      </c>
      <c r="K27" s="60" t="s">
        <v>68</v>
      </c>
      <c r="L27" s="23"/>
    </row>
    <row r="28" spans="2:26">
      <c r="B28" s="54" t="s">
        <v>65</v>
      </c>
      <c r="C28" s="83"/>
      <c r="D28" s="69"/>
      <c r="E28" s="84"/>
      <c r="F28" s="84"/>
      <c r="G28" s="124">
        <f>O29</f>
        <v>35</v>
      </c>
      <c r="H28" s="55" t="s">
        <v>40</v>
      </c>
      <c r="I28" s="59">
        <f>Q29</f>
        <v>1.1599999999999999</v>
      </c>
      <c r="J28" s="31">
        <f>(I28*G28)</f>
        <v>40.599999999999994</v>
      </c>
      <c r="K28" s="73" t="s">
        <v>192</v>
      </c>
      <c r="L28" s="23"/>
      <c r="O28" s="61" t="s">
        <v>74</v>
      </c>
      <c r="P28" s="61" t="s">
        <v>3</v>
      </c>
      <c r="Q28" s="61" t="s">
        <v>58</v>
      </c>
    </row>
    <row r="29" spans="2:26">
      <c r="B29" s="54" t="s">
        <v>66</v>
      </c>
      <c r="C29" s="83"/>
      <c r="D29" s="69"/>
      <c r="E29" s="84"/>
      <c r="F29" s="84"/>
      <c r="G29" s="124">
        <f>O30</f>
        <v>30</v>
      </c>
      <c r="H29" s="55" t="s">
        <v>40</v>
      </c>
      <c r="I29" s="59">
        <f>Q30</f>
        <v>1.08</v>
      </c>
      <c r="J29" s="31">
        <f>(I29*G29)</f>
        <v>32.400000000000006</v>
      </c>
      <c r="K29" s="73" t="s">
        <v>81</v>
      </c>
      <c r="L29" s="23"/>
      <c r="N29" s="23" t="s">
        <v>192</v>
      </c>
      <c r="O29" s="61">
        <v>35</v>
      </c>
      <c r="P29" s="24">
        <f>(Q29*O29)</f>
        <v>40.599999999999994</v>
      </c>
      <c r="Q29" s="64">
        <v>1.1599999999999999</v>
      </c>
    </row>
    <row r="30" spans="2:26">
      <c r="B30" s="54" t="s">
        <v>157</v>
      </c>
      <c r="C30" s="83"/>
      <c r="D30" s="69"/>
      <c r="E30" s="84"/>
      <c r="F30" s="84"/>
      <c r="G30" s="124">
        <f>O31</f>
        <v>10</v>
      </c>
      <c r="H30" s="55" t="s">
        <v>40</v>
      </c>
      <c r="I30" s="59">
        <f>Q31</f>
        <v>0.95</v>
      </c>
      <c r="J30" s="31">
        <f>P31</f>
        <v>29.45</v>
      </c>
      <c r="K30" s="73" t="s">
        <v>156</v>
      </c>
      <c r="L30" s="23"/>
      <c r="N30" s="15" t="s">
        <v>81</v>
      </c>
      <c r="O30" s="61">
        <v>30</v>
      </c>
      <c r="P30" s="24">
        <f>(Q30*O30)</f>
        <v>32.400000000000006</v>
      </c>
      <c r="Q30" s="64">
        <v>1.08</v>
      </c>
    </row>
    <row r="31" spans="2:26">
      <c r="B31" s="54" t="s">
        <v>69</v>
      </c>
      <c r="C31" s="83"/>
      <c r="D31" s="56">
        <v>1</v>
      </c>
      <c r="E31" s="84"/>
      <c r="F31" s="84"/>
      <c r="G31" s="124"/>
      <c r="H31" s="55" t="s">
        <v>63</v>
      </c>
      <c r="I31" s="59">
        <f>P16</f>
        <v>1.5</v>
      </c>
      <c r="J31" s="31">
        <f>P16</f>
        <v>1.5</v>
      </c>
      <c r="K31" s="60" t="s">
        <v>70</v>
      </c>
      <c r="L31" s="23"/>
      <c r="N31" s="15" t="s">
        <v>156</v>
      </c>
      <c r="O31" s="61">
        <v>10</v>
      </c>
      <c r="P31" s="141">
        <f>31*Q31</f>
        <v>29.45</v>
      </c>
      <c r="Q31" s="64">
        <v>0.95</v>
      </c>
    </row>
    <row r="32" spans="2:26">
      <c r="B32" s="25" t="s">
        <v>19</v>
      </c>
      <c r="C32" s="85"/>
      <c r="D32" s="86"/>
      <c r="E32" s="87"/>
      <c r="F32" s="87"/>
      <c r="G32" s="120">
        <v>0.5</v>
      </c>
      <c r="H32" s="26" t="s">
        <v>40</v>
      </c>
      <c r="I32" s="30">
        <f>P17</f>
        <v>140</v>
      </c>
      <c r="J32" s="31">
        <f>(I32*G32)</f>
        <v>70</v>
      </c>
      <c r="K32" s="32" t="s">
        <v>44</v>
      </c>
      <c r="L32" s="23"/>
      <c r="O32" s="61"/>
      <c r="P32" s="141"/>
      <c r="Q32" s="64"/>
    </row>
    <row r="33" spans="2:12" ht="13.8" thickBot="1">
      <c r="B33" s="88" t="s">
        <v>52</v>
      </c>
      <c r="C33" s="89"/>
      <c r="D33" s="140">
        <v>1</v>
      </c>
      <c r="E33" s="91"/>
      <c r="F33" s="91"/>
      <c r="G33" s="131"/>
      <c r="H33" s="92" t="s">
        <v>63</v>
      </c>
      <c r="I33" s="38">
        <f>P18</f>
        <v>37</v>
      </c>
      <c r="J33" s="72">
        <f>P18</f>
        <v>37</v>
      </c>
      <c r="K33" s="39" t="s">
        <v>78</v>
      </c>
      <c r="L33" s="23"/>
    </row>
    <row r="34" spans="2:12" ht="13.8" thickBot="1">
      <c r="B34" s="40" t="s">
        <v>9</v>
      </c>
      <c r="C34" s="93"/>
      <c r="D34" s="66"/>
      <c r="E34" s="65"/>
      <c r="F34" s="65"/>
      <c r="G34" s="65"/>
      <c r="H34" s="65"/>
      <c r="I34" s="65"/>
      <c r="J34" s="47">
        <f>SUM(J27:J33)</f>
        <v>238.95</v>
      </c>
      <c r="K34" s="48"/>
      <c r="L34" s="23"/>
    </row>
    <row r="35" spans="2:12" ht="13.8" thickBot="1">
      <c r="B35" s="40" t="s">
        <v>20</v>
      </c>
      <c r="C35" s="94"/>
      <c r="D35" s="66"/>
      <c r="E35" s="65"/>
      <c r="F35" s="65"/>
      <c r="G35" s="65"/>
      <c r="H35" s="65"/>
      <c r="I35" s="65"/>
      <c r="J35" s="47">
        <f>(J12+J20+J25+J34)</f>
        <v>841.28712727272728</v>
      </c>
      <c r="K35" s="48"/>
      <c r="L35" s="23"/>
    </row>
    <row r="36" spans="2:12">
      <c r="B36" s="2" t="s">
        <v>21</v>
      </c>
      <c r="C36" s="81"/>
      <c r="D36" s="21"/>
      <c r="E36" s="20"/>
      <c r="F36" s="20"/>
      <c r="G36" s="20"/>
      <c r="H36" s="20"/>
      <c r="I36" s="20"/>
      <c r="J36" s="53"/>
      <c r="K36" s="22"/>
      <c r="L36" s="23"/>
    </row>
    <row r="37" spans="2:12">
      <c r="B37" s="25" t="s">
        <v>22</v>
      </c>
      <c r="C37" s="85"/>
      <c r="D37" s="86"/>
      <c r="E37" s="87"/>
      <c r="F37" s="87"/>
      <c r="G37" s="87"/>
      <c r="H37" s="87"/>
      <c r="I37" s="87"/>
      <c r="J37" s="30">
        <f>J35*0.05</f>
        <v>42.064356363636364</v>
      </c>
      <c r="K37" s="32"/>
      <c r="L37" s="23"/>
    </row>
    <row r="38" spans="2:12">
      <c r="B38" s="25" t="s">
        <v>23</v>
      </c>
      <c r="C38" s="85"/>
      <c r="D38" s="86"/>
      <c r="E38" s="87"/>
      <c r="F38" s="87"/>
      <c r="G38" s="87"/>
      <c r="H38" s="87"/>
      <c r="I38" s="87"/>
      <c r="J38" s="30">
        <f>P15</f>
        <v>150</v>
      </c>
      <c r="K38" s="32"/>
      <c r="L38" s="23"/>
    </row>
    <row r="39" spans="2:12">
      <c r="B39" s="25" t="s">
        <v>24</v>
      </c>
      <c r="C39" s="85"/>
      <c r="D39" s="86"/>
      <c r="E39" s="87"/>
      <c r="F39" s="87"/>
      <c r="G39" s="87"/>
      <c r="H39" s="87"/>
      <c r="I39" s="87"/>
      <c r="J39" s="30">
        <f>((J35+J37+J38)*0.05)</f>
        <v>51.667574181818182</v>
      </c>
      <c r="K39" s="32"/>
      <c r="L39" s="23"/>
    </row>
    <row r="40" spans="2:12">
      <c r="B40" s="95" t="s">
        <v>25</v>
      </c>
      <c r="C40" s="83"/>
      <c r="D40" s="96"/>
      <c r="E40" s="97"/>
      <c r="F40" s="97"/>
      <c r="G40" s="97"/>
      <c r="H40" s="97"/>
      <c r="I40" s="97"/>
      <c r="J40" s="98">
        <f>((J35+J37+J38)*0.03)</f>
        <v>31.000544509090908</v>
      </c>
      <c r="K40" s="73"/>
      <c r="L40" s="23"/>
    </row>
    <row r="41" spans="2:12" ht="13.8" thickBot="1">
      <c r="B41" s="99" t="s">
        <v>9</v>
      </c>
      <c r="C41" s="93"/>
      <c r="D41" s="100"/>
      <c r="E41" s="101"/>
      <c r="F41" s="101"/>
      <c r="G41" s="101"/>
      <c r="H41" s="101"/>
      <c r="I41" s="101"/>
      <c r="J41" s="102">
        <f>SUM(J37:J40)</f>
        <v>274.73247505454543</v>
      </c>
      <c r="K41" s="103"/>
      <c r="L41" s="23"/>
    </row>
    <row r="42" spans="2:12" ht="13.8" thickBot="1">
      <c r="B42" s="1" t="s">
        <v>26</v>
      </c>
      <c r="C42" s="94"/>
      <c r="D42" s="66"/>
      <c r="E42" s="44">
        <v>1.32</v>
      </c>
      <c r="F42" s="44">
        <v>0.81</v>
      </c>
      <c r="G42" s="65"/>
      <c r="H42" s="65"/>
      <c r="I42" s="65"/>
      <c r="J42" s="47">
        <f>(J35+J41)</f>
        <v>1116.0196023272727</v>
      </c>
      <c r="K42" s="48"/>
      <c r="L42" s="23"/>
    </row>
    <row r="43" spans="2:12" ht="13.8" thickBot="1">
      <c r="B43" s="23"/>
      <c r="C43" s="23"/>
      <c r="D43" s="23"/>
      <c r="E43" s="104"/>
      <c r="F43" s="104"/>
      <c r="G43" s="23"/>
      <c r="H43" s="23"/>
      <c r="I43" s="23"/>
      <c r="J43" s="23"/>
      <c r="K43" s="23"/>
      <c r="L43" s="23"/>
    </row>
    <row r="44" spans="2:12">
      <c r="B44" s="105" t="s">
        <v>27</v>
      </c>
      <c r="C44" s="106" t="s">
        <v>61</v>
      </c>
      <c r="D44" s="50"/>
      <c r="E44" s="107">
        <v>6250</v>
      </c>
      <c r="F44" s="50"/>
      <c r="G44" s="108"/>
      <c r="H44" s="108"/>
      <c r="I44" s="108"/>
      <c r="J44" s="108"/>
      <c r="K44" s="22"/>
      <c r="L44" s="23"/>
    </row>
    <row r="45" spans="2:12">
      <c r="B45" s="25" t="s">
        <v>28</v>
      </c>
      <c r="C45" s="109" t="s">
        <v>62</v>
      </c>
      <c r="D45" s="109"/>
      <c r="E45" s="110">
        <v>50</v>
      </c>
      <c r="F45" s="111"/>
      <c r="G45" s="23" t="s">
        <v>94</v>
      </c>
      <c r="H45" s="23"/>
      <c r="I45" s="23"/>
      <c r="J45" s="23"/>
      <c r="K45" s="73"/>
      <c r="L45" s="23"/>
    </row>
    <row r="46" spans="2:12">
      <c r="B46" s="25" t="s">
        <v>29</v>
      </c>
      <c r="C46" s="109" t="s">
        <v>62</v>
      </c>
      <c r="D46" s="109"/>
      <c r="E46" s="110">
        <f>(J42-E45)</f>
        <v>1066.0196023272727</v>
      </c>
      <c r="F46" s="111"/>
      <c r="G46" s="112"/>
      <c r="H46" s="112"/>
      <c r="I46" s="112"/>
      <c r="J46" s="112"/>
      <c r="K46" s="32"/>
      <c r="L46" s="23"/>
    </row>
    <row r="47" spans="2:12">
      <c r="B47" s="25" t="s">
        <v>29</v>
      </c>
      <c r="C47" s="109" t="s">
        <v>30</v>
      </c>
      <c r="D47" s="109"/>
      <c r="E47" s="142">
        <f>(E46/E44)</f>
        <v>0.17056313637236362</v>
      </c>
      <c r="F47" s="111"/>
      <c r="G47" s="23"/>
      <c r="H47" s="23"/>
      <c r="I47" s="23"/>
      <c r="J47" s="23"/>
      <c r="K47" s="73"/>
      <c r="L47" s="23"/>
    </row>
    <row r="48" spans="2:12" ht="13.8" thickBot="1">
      <c r="B48" s="99" t="s">
        <v>71</v>
      </c>
      <c r="C48" s="113" t="s">
        <v>30</v>
      </c>
      <c r="D48" s="113"/>
      <c r="E48" s="114">
        <f>E47*1.3</f>
        <v>0.22173207728407271</v>
      </c>
      <c r="F48" s="115"/>
      <c r="G48" s="89"/>
      <c r="H48" s="89"/>
      <c r="I48" s="89"/>
      <c r="J48" s="89"/>
      <c r="K48" s="116"/>
      <c r="L48" s="23"/>
    </row>
    <row r="49" spans="2:12">
      <c r="B49" s="23"/>
      <c r="C49" s="14"/>
      <c r="D49" s="14"/>
      <c r="E49" s="117"/>
      <c r="F49" s="117"/>
      <c r="G49" s="23"/>
      <c r="H49" s="23"/>
      <c r="I49" s="23"/>
      <c r="J49" s="23"/>
      <c r="K49" s="23"/>
      <c r="L49" s="23"/>
    </row>
    <row r="50" spans="2:12">
      <c r="B50" s="23"/>
      <c r="C50" s="14"/>
      <c r="D50" s="14"/>
      <c r="E50" s="117"/>
      <c r="F50" s="117"/>
      <c r="G50" s="23"/>
      <c r="H50" s="23"/>
      <c r="I50" s="23"/>
      <c r="J50" s="23"/>
      <c r="K50" s="23"/>
      <c r="L50" s="23"/>
    </row>
    <row r="51" spans="2:12">
      <c r="B51" s="15" t="s">
        <v>72</v>
      </c>
      <c r="L51" s="23"/>
    </row>
    <row r="52" spans="2:12">
      <c r="B52" s="15" t="s">
        <v>158</v>
      </c>
    </row>
    <row r="73" spans="9:10">
      <c r="I73" s="182"/>
      <c r="J73" s="182"/>
    </row>
    <row r="74" spans="9:10">
      <c r="I74" s="173"/>
      <c r="J74" s="173"/>
    </row>
    <row r="75" spans="9:10">
      <c r="I75" s="173"/>
      <c r="J75" s="173"/>
    </row>
    <row r="76" spans="9:10">
      <c r="I76" s="173"/>
      <c r="J76" s="173"/>
    </row>
    <row r="77" spans="9:10">
      <c r="I77" s="173"/>
      <c r="J77" s="173"/>
    </row>
    <row r="78" spans="9:10">
      <c r="I78" s="173"/>
      <c r="J78" s="173"/>
    </row>
    <row r="79" spans="9:10">
      <c r="I79" s="173"/>
      <c r="J79" s="173"/>
    </row>
  </sheetData>
  <customSheetViews>
    <customSheetView guid="{8B6B86C0-2F1B-11D5-9D92-00606708EF55}" scale="75" showRuler="0" topLeftCell="A17">
      <selection activeCell="A35" sqref="A35"/>
      <pageMargins left="0.74803149606299213" right="0.74803149606299213" top="0.19685039370078741" bottom="0.19685039370078741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0">
    <mergeCell ref="C3:D5"/>
    <mergeCell ref="E3:F3"/>
    <mergeCell ref="E4:F4"/>
    <mergeCell ref="I76:J76"/>
    <mergeCell ref="I79:J79"/>
    <mergeCell ref="I73:J73"/>
    <mergeCell ref="I74:J74"/>
    <mergeCell ref="I75:J75"/>
    <mergeCell ref="I77:J77"/>
    <mergeCell ref="I78:J78"/>
  </mergeCells>
  <phoneticPr fontId="2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84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9"/>
  <sheetViews>
    <sheetView zoomScale="75" workbookViewId="0">
      <selection activeCell="J2" sqref="J2"/>
    </sheetView>
  </sheetViews>
  <sheetFormatPr defaultColWidth="9.109375" defaultRowHeight="13.2"/>
  <cols>
    <col min="1" max="1" width="2.6640625" style="15" customWidth="1"/>
    <col min="2" max="2" width="25.88671875" style="15" customWidth="1"/>
    <col min="3" max="3" width="12.33203125" style="15" customWidth="1"/>
    <col min="4" max="4" width="4.88671875" style="15" customWidth="1"/>
    <col min="5" max="5" width="9.109375" style="15"/>
    <col min="6" max="6" width="10.6640625" style="15" customWidth="1"/>
    <col min="7" max="8" width="9.109375" style="15"/>
    <col min="9" max="9" width="11.33203125" style="15" customWidth="1"/>
    <col min="10" max="10" width="13.44140625" style="15" customWidth="1"/>
    <col min="11" max="11" width="19" style="15" customWidth="1"/>
    <col min="12" max="12" width="8.109375" style="15" customWidth="1"/>
    <col min="13" max="13" width="5.109375" style="15" customWidth="1"/>
    <col min="14" max="14" width="14.88671875" style="15" customWidth="1"/>
    <col min="15" max="15" width="7" style="15" customWidth="1"/>
    <col min="16" max="16" width="11.44140625" style="15" customWidth="1"/>
    <col min="17" max="17" width="12.33203125" style="15" customWidth="1"/>
    <col min="18" max="16384" width="9.109375" style="15"/>
  </cols>
  <sheetData>
    <row r="1" spans="2:16" s="9" customFormat="1">
      <c r="B1" t="s">
        <v>201</v>
      </c>
      <c r="I1"/>
      <c r="J1"/>
    </row>
    <row r="2" spans="2:16" s="9" customFormat="1" ht="13.8" thickBot="1"/>
    <row r="3" spans="2:16">
      <c r="B3" s="10"/>
      <c r="C3" s="176" t="s">
        <v>50</v>
      </c>
      <c r="D3" s="177"/>
      <c r="E3" s="175" t="s">
        <v>47</v>
      </c>
      <c r="F3" s="175"/>
      <c r="G3" s="11"/>
      <c r="H3" s="12"/>
      <c r="I3" s="11"/>
      <c r="J3" s="11"/>
      <c r="K3" s="13"/>
      <c r="L3" s="14"/>
    </row>
    <row r="4" spans="2:16" ht="13.8" thickBot="1">
      <c r="B4" s="3" t="s">
        <v>45</v>
      </c>
      <c r="C4" s="178"/>
      <c r="D4" s="179"/>
      <c r="E4" s="174" t="s">
        <v>64</v>
      </c>
      <c r="F4" s="174"/>
      <c r="G4" s="4" t="s">
        <v>0</v>
      </c>
      <c r="H4" s="3" t="s">
        <v>1</v>
      </c>
      <c r="I4" s="4" t="s">
        <v>2</v>
      </c>
      <c r="J4" s="4" t="s">
        <v>3</v>
      </c>
      <c r="K4" s="8" t="s">
        <v>4</v>
      </c>
      <c r="L4" s="16"/>
    </row>
    <row r="5" spans="2:16" ht="13.8" thickBot="1">
      <c r="B5" s="17"/>
      <c r="C5" s="180"/>
      <c r="D5" s="181"/>
      <c r="E5" s="6" t="s">
        <v>48</v>
      </c>
      <c r="F5" s="7" t="s">
        <v>49</v>
      </c>
      <c r="G5" s="18"/>
      <c r="H5" s="17"/>
      <c r="I5" s="5" t="s">
        <v>163</v>
      </c>
      <c r="J5" s="5" t="s">
        <v>163</v>
      </c>
      <c r="K5" s="19"/>
      <c r="L5" s="14"/>
    </row>
    <row r="6" spans="2:16">
      <c r="B6" s="2" t="s">
        <v>5</v>
      </c>
      <c r="C6" s="20"/>
      <c r="D6" s="21"/>
      <c r="E6" s="20"/>
      <c r="F6" s="20"/>
      <c r="G6" s="20"/>
      <c r="H6" s="20"/>
      <c r="I6" s="20"/>
      <c r="J6" s="21"/>
      <c r="K6" s="22"/>
      <c r="L6" s="23"/>
      <c r="P6" s="24"/>
    </row>
    <row r="7" spans="2:16">
      <c r="B7" s="25" t="s">
        <v>51</v>
      </c>
      <c r="C7" s="26" t="s">
        <v>95</v>
      </c>
      <c r="D7" s="27">
        <v>1</v>
      </c>
      <c r="E7" s="28">
        <v>0.28000000000000003</v>
      </c>
      <c r="F7" s="28">
        <v>0.28000000000000003</v>
      </c>
      <c r="G7" s="29">
        <v>2</v>
      </c>
      <c r="H7" s="26" t="s">
        <v>63</v>
      </c>
      <c r="I7" s="30">
        <f>P11</f>
        <v>4.08</v>
      </c>
      <c r="J7" s="31">
        <f>(G7*I7)+(E7*P12)</f>
        <v>9.56</v>
      </c>
      <c r="K7" s="32" t="s">
        <v>32</v>
      </c>
      <c r="L7" s="23"/>
      <c r="P7" s="24"/>
    </row>
    <row r="8" spans="2:16">
      <c r="B8" s="25" t="s">
        <v>6</v>
      </c>
      <c r="C8" s="26" t="s">
        <v>96</v>
      </c>
      <c r="D8" s="27"/>
      <c r="E8" s="28">
        <v>0.09</v>
      </c>
      <c r="F8" s="28">
        <v>0.09</v>
      </c>
      <c r="G8" s="29">
        <v>1.5</v>
      </c>
      <c r="H8" s="26" t="s">
        <v>63</v>
      </c>
      <c r="I8" s="30">
        <f>P11</f>
        <v>4.08</v>
      </c>
      <c r="J8" s="31">
        <f>(I8*G8)+(P12*E8)</f>
        <v>6.57</v>
      </c>
      <c r="K8" s="32" t="s">
        <v>34</v>
      </c>
      <c r="L8" s="23"/>
      <c r="P8" s="24"/>
    </row>
    <row r="9" spans="2:16">
      <c r="B9" s="25" t="s">
        <v>7</v>
      </c>
      <c r="C9" s="26" t="s">
        <v>96</v>
      </c>
      <c r="D9" s="27">
        <v>1</v>
      </c>
      <c r="E9" s="28">
        <v>0.09</v>
      </c>
      <c r="F9" s="28">
        <v>0.09</v>
      </c>
      <c r="G9" s="29">
        <v>1.5</v>
      </c>
      <c r="H9" s="26" t="s">
        <v>63</v>
      </c>
      <c r="I9" s="30">
        <f>P11</f>
        <v>4.08</v>
      </c>
      <c r="J9" s="31">
        <f>(I9*G9)+(P12*E9)</f>
        <v>6.57</v>
      </c>
      <c r="K9" s="32" t="s">
        <v>33</v>
      </c>
      <c r="L9" s="23"/>
      <c r="P9" s="24"/>
    </row>
    <row r="10" spans="2:16">
      <c r="B10" s="25" t="s">
        <v>8</v>
      </c>
      <c r="C10" s="26" t="s">
        <v>31</v>
      </c>
      <c r="D10" s="27">
        <v>1</v>
      </c>
      <c r="E10" s="28">
        <v>0.2</v>
      </c>
      <c r="F10" s="28">
        <v>0.2</v>
      </c>
      <c r="G10" s="29">
        <v>2</v>
      </c>
      <c r="H10" s="26" t="s">
        <v>63</v>
      </c>
      <c r="I10" s="30">
        <f>P11</f>
        <v>4.08</v>
      </c>
      <c r="J10" s="31">
        <f>(I10*G10)+(P11*E10)</f>
        <v>8.9760000000000009</v>
      </c>
      <c r="K10" s="32" t="s">
        <v>133</v>
      </c>
      <c r="L10" s="23"/>
      <c r="P10" s="15" t="s">
        <v>161</v>
      </c>
    </row>
    <row r="11" spans="2:16" ht="13.8" thickBot="1">
      <c r="B11" s="33" t="s">
        <v>8</v>
      </c>
      <c r="C11" s="34" t="s">
        <v>31</v>
      </c>
      <c r="D11" s="35"/>
      <c r="E11" s="36">
        <v>0.1</v>
      </c>
      <c r="F11" s="36"/>
      <c r="G11" s="37"/>
      <c r="H11" s="34" t="s">
        <v>39</v>
      </c>
      <c r="I11" s="38">
        <f>P12</f>
        <v>5</v>
      </c>
      <c r="J11" s="31">
        <f>P12*E11</f>
        <v>0.5</v>
      </c>
      <c r="K11" s="39" t="s">
        <v>132</v>
      </c>
      <c r="L11" s="23"/>
      <c r="N11" s="15" t="s">
        <v>77</v>
      </c>
      <c r="P11" s="24">
        <v>4.08</v>
      </c>
    </row>
    <row r="12" spans="2:16" ht="13.8" thickBot="1">
      <c r="B12" s="40" t="s">
        <v>9</v>
      </c>
      <c r="C12" s="41"/>
      <c r="D12" s="42"/>
      <c r="E12" s="43">
        <f>SUM(E7:E11)</f>
        <v>0.7599999999999999</v>
      </c>
      <c r="F12" s="44">
        <f>SUM(F7:F11)</f>
        <v>0.65999999999999992</v>
      </c>
      <c r="G12" s="45"/>
      <c r="H12" s="42"/>
      <c r="I12" s="46"/>
      <c r="J12" s="47">
        <f>SUM(J7:J11)</f>
        <v>32.176000000000002</v>
      </c>
      <c r="K12" s="48"/>
      <c r="L12" s="23"/>
      <c r="N12" t="s">
        <v>164</v>
      </c>
      <c r="P12" s="24">
        <v>5</v>
      </c>
    </row>
    <row r="13" spans="2:16">
      <c r="B13" s="2" t="s">
        <v>10</v>
      </c>
      <c r="C13" s="49"/>
      <c r="D13" s="50"/>
      <c r="E13" s="51"/>
      <c r="F13" s="51"/>
      <c r="G13" s="52"/>
      <c r="H13" s="49"/>
      <c r="I13" s="53"/>
      <c r="J13" s="53"/>
      <c r="K13" s="22"/>
      <c r="L13" s="23"/>
      <c r="N13" s="15" t="s">
        <v>56</v>
      </c>
      <c r="P13" s="24">
        <v>12</v>
      </c>
    </row>
    <row r="14" spans="2:16">
      <c r="B14" s="54" t="s">
        <v>11</v>
      </c>
      <c r="C14" s="55" t="s">
        <v>97</v>
      </c>
      <c r="D14" s="56">
        <v>1</v>
      </c>
      <c r="E14" s="57">
        <v>0.09</v>
      </c>
      <c r="F14" s="57">
        <v>0.09</v>
      </c>
      <c r="G14" s="58">
        <v>0.5</v>
      </c>
      <c r="H14" s="55" t="s">
        <v>63</v>
      </c>
      <c r="I14" s="59">
        <f>P11</f>
        <v>4.08</v>
      </c>
      <c r="J14" s="31">
        <f>(P12*E14)+(G14*I14)</f>
        <v>2.4900000000000002</v>
      </c>
      <c r="K14" s="60" t="s">
        <v>37</v>
      </c>
      <c r="L14" s="23"/>
      <c r="N14" s="15" t="s">
        <v>16</v>
      </c>
      <c r="P14" s="24">
        <v>45</v>
      </c>
    </row>
    <row r="15" spans="2:16">
      <c r="B15" s="25" t="s">
        <v>11</v>
      </c>
      <c r="C15" s="26" t="s">
        <v>97</v>
      </c>
      <c r="D15" s="27"/>
      <c r="E15" s="28">
        <v>0.09</v>
      </c>
      <c r="F15" s="28"/>
      <c r="G15" s="29"/>
      <c r="H15" s="26" t="s">
        <v>39</v>
      </c>
      <c r="I15" s="30">
        <f>P12</f>
        <v>5</v>
      </c>
      <c r="J15" s="30">
        <f>I15*E15</f>
        <v>0.44999999999999996</v>
      </c>
      <c r="K15" s="32" t="s">
        <v>36</v>
      </c>
      <c r="L15" s="23"/>
      <c r="N15" s="15" t="s">
        <v>23</v>
      </c>
      <c r="P15" s="24">
        <v>100</v>
      </c>
    </row>
    <row r="16" spans="2:16">
      <c r="B16" s="54" t="s">
        <v>12</v>
      </c>
      <c r="C16" s="55" t="s">
        <v>96</v>
      </c>
      <c r="D16" s="56">
        <v>1</v>
      </c>
      <c r="E16" s="57">
        <v>0.09</v>
      </c>
      <c r="F16" s="57">
        <v>0.09</v>
      </c>
      <c r="G16" s="58">
        <v>0.5</v>
      </c>
      <c r="H16" s="55" t="s">
        <v>63</v>
      </c>
      <c r="I16" s="59">
        <f>P11</f>
        <v>4.08</v>
      </c>
      <c r="J16" s="31">
        <f>(P12*E16)+(G16*I16)</f>
        <v>2.4900000000000002</v>
      </c>
      <c r="K16" s="60" t="s">
        <v>38</v>
      </c>
      <c r="L16" s="23"/>
      <c r="N16" s="15" t="s">
        <v>69</v>
      </c>
      <c r="O16" s="61"/>
      <c r="P16" s="24">
        <v>1.5</v>
      </c>
    </row>
    <row r="17" spans="2:26">
      <c r="B17" s="25" t="s">
        <v>12</v>
      </c>
      <c r="C17" s="26" t="s">
        <v>96</v>
      </c>
      <c r="D17" s="27"/>
      <c r="E17" s="28">
        <v>0.09</v>
      </c>
      <c r="F17" s="62"/>
      <c r="G17" s="29"/>
      <c r="H17" s="26" t="s">
        <v>39</v>
      </c>
      <c r="I17" s="30">
        <f>P12</f>
        <v>5</v>
      </c>
      <c r="J17" s="31">
        <f>(I17*E17)</f>
        <v>0.44999999999999996</v>
      </c>
      <c r="K17" s="63" t="s">
        <v>36</v>
      </c>
      <c r="L17" s="23"/>
      <c r="N17" s="15" t="s">
        <v>57</v>
      </c>
      <c r="P17" s="24">
        <v>80</v>
      </c>
      <c r="Q17" s="64"/>
    </row>
    <row r="18" spans="2:26">
      <c r="B18" s="25" t="s">
        <v>82</v>
      </c>
      <c r="C18" s="26" t="s">
        <v>98</v>
      </c>
      <c r="D18" s="27"/>
      <c r="E18" s="28">
        <v>8</v>
      </c>
      <c r="F18" s="62"/>
      <c r="G18" s="118"/>
      <c r="H18" s="26" t="s">
        <v>39</v>
      </c>
      <c r="I18" s="119">
        <f>P18</f>
        <v>4</v>
      </c>
      <c r="J18" s="31">
        <f>I18*E18</f>
        <v>32</v>
      </c>
      <c r="K18" s="32"/>
      <c r="L18" s="23"/>
      <c r="N18" t="s">
        <v>165</v>
      </c>
      <c r="P18" s="24">
        <v>4</v>
      </c>
      <c r="Q18" s="64"/>
    </row>
    <row r="19" spans="2:26" ht="13.8" thickBot="1">
      <c r="B19" s="25" t="s">
        <v>75</v>
      </c>
      <c r="C19" s="26" t="s">
        <v>46</v>
      </c>
      <c r="D19" s="27">
        <v>3</v>
      </c>
      <c r="E19" s="28">
        <v>1.1499999999999999</v>
      </c>
      <c r="F19" s="62">
        <v>4.5</v>
      </c>
      <c r="G19" s="118">
        <v>3</v>
      </c>
      <c r="H19" s="26" t="s">
        <v>63</v>
      </c>
      <c r="I19" s="119">
        <f>P11</f>
        <v>4.08</v>
      </c>
      <c r="J19" s="31">
        <f>I19*(F19*G19)+(E19*P12)</f>
        <v>60.83</v>
      </c>
      <c r="K19" s="32" t="s">
        <v>76</v>
      </c>
      <c r="N19" s="15" t="s">
        <v>59</v>
      </c>
      <c r="P19" s="15">
        <v>19.32</v>
      </c>
    </row>
    <row r="20" spans="2:26" ht="13.8" thickBot="1">
      <c r="B20" s="40" t="s">
        <v>9</v>
      </c>
      <c r="C20" s="65"/>
      <c r="D20" s="66"/>
      <c r="E20" s="44">
        <f>SUM(E14:E19)</f>
        <v>9.51</v>
      </c>
      <c r="F20" s="44">
        <f>SUM(F14:F19)</f>
        <v>4.68</v>
      </c>
      <c r="G20" s="67"/>
      <c r="H20" s="41"/>
      <c r="I20" s="68"/>
      <c r="J20" s="47">
        <f>SUM(J14:J19)</f>
        <v>98.710000000000008</v>
      </c>
      <c r="K20" s="48"/>
      <c r="L20" s="23"/>
      <c r="N20" s="15" t="s">
        <v>79</v>
      </c>
      <c r="P20" s="24">
        <v>40</v>
      </c>
    </row>
    <row r="21" spans="2:26">
      <c r="B21" s="2" t="s">
        <v>13</v>
      </c>
      <c r="C21" s="20"/>
      <c r="D21" s="21"/>
      <c r="E21" s="51"/>
      <c r="F21" s="51"/>
      <c r="G21" s="52"/>
      <c r="H21" s="49"/>
      <c r="I21" s="53"/>
      <c r="J21" s="53"/>
      <c r="K21" s="22"/>
      <c r="L21" s="23"/>
      <c r="N21" s="15" t="s">
        <v>80</v>
      </c>
      <c r="P21" s="24">
        <v>0.5</v>
      </c>
    </row>
    <row r="22" spans="2:26">
      <c r="B22" s="54" t="s">
        <v>14</v>
      </c>
      <c r="C22" s="55" t="s">
        <v>46</v>
      </c>
      <c r="D22" s="56">
        <v>1</v>
      </c>
      <c r="E22" s="57">
        <v>0.12</v>
      </c>
      <c r="F22" s="57">
        <v>0.12</v>
      </c>
      <c r="G22" s="58"/>
      <c r="H22" s="55" t="s">
        <v>63</v>
      </c>
      <c r="I22" s="59">
        <f>P13</f>
        <v>12</v>
      </c>
      <c r="J22" s="31">
        <f>(I22*D22)</f>
        <v>12</v>
      </c>
      <c r="K22" s="60" t="s">
        <v>41</v>
      </c>
      <c r="L22" s="23"/>
      <c r="O22" s="61"/>
      <c r="Q22" s="61"/>
    </row>
    <row r="23" spans="2:26">
      <c r="B23" s="54" t="s">
        <v>99</v>
      </c>
      <c r="C23" s="55" t="s">
        <v>46</v>
      </c>
      <c r="D23" s="69"/>
      <c r="E23" s="57">
        <v>0.12</v>
      </c>
      <c r="F23" s="57"/>
      <c r="G23" s="58"/>
      <c r="H23" s="55" t="s">
        <v>39</v>
      </c>
      <c r="I23" s="59">
        <f>P12</f>
        <v>5</v>
      </c>
      <c r="J23" s="30">
        <f>(I23*E23)</f>
        <v>0.6</v>
      </c>
      <c r="K23" s="60" t="s">
        <v>100</v>
      </c>
      <c r="L23" s="23"/>
      <c r="O23" s="61"/>
      <c r="P23" s="23"/>
      <c r="Q23" s="14"/>
      <c r="R23" s="14"/>
      <c r="S23" s="74"/>
      <c r="T23" s="74"/>
      <c r="U23" s="23"/>
      <c r="V23" s="14"/>
      <c r="W23" s="75"/>
      <c r="X23" s="75"/>
      <c r="Y23" s="23"/>
      <c r="Z23" s="23"/>
    </row>
    <row r="24" spans="2:26">
      <c r="B24" s="25" t="s">
        <v>16</v>
      </c>
      <c r="C24" s="26" t="s">
        <v>46</v>
      </c>
      <c r="D24" s="86"/>
      <c r="E24" s="28">
        <v>0.06</v>
      </c>
      <c r="F24" s="28">
        <v>0.06</v>
      </c>
      <c r="G24" s="29"/>
      <c r="H24" s="26" t="s">
        <v>40</v>
      </c>
      <c r="I24" s="30">
        <f>P14/2000</f>
        <v>2.2499999999999999E-2</v>
      </c>
      <c r="J24" s="30">
        <f>I24*E44</f>
        <v>7.3125</v>
      </c>
      <c r="K24" s="32" t="s">
        <v>42</v>
      </c>
      <c r="L24" s="23"/>
      <c r="O24" s="61"/>
      <c r="Q24" s="61"/>
    </row>
    <row r="25" spans="2:26" ht="13.8" thickBot="1">
      <c r="B25" s="95" t="s">
        <v>101</v>
      </c>
      <c r="C25" s="34" t="s">
        <v>102</v>
      </c>
      <c r="D25" s="96"/>
      <c r="E25" s="71">
        <v>0.12</v>
      </c>
      <c r="F25" s="71">
        <v>0.12</v>
      </c>
      <c r="G25" s="37"/>
      <c r="H25" s="14" t="s">
        <v>63</v>
      </c>
      <c r="I25" s="72"/>
      <c r="J25" s="98">
        <f>J8+J9</f>
        <v>13.14</v>
      </c>
      <c r="K25" s="73" t="s">
        <v>103</v>
      </c>
      <c r="L25" s="23"/>
      <c r="O25" s="61"/>
      <c r="Q25" s="61"/>
    </row>
    <row r="26" spans="2:26" ht="13.8" thickBot="1">
      <c r="B26" s="12" t="s">
        <v>9</v>
      </c>
      <c r="C26" s="65"/>
      <c r="D26" s="76"/>
      <c r="E26" s="77">
        <f>SUM(E22:E25)</f>
        <v>0.42</v>
      </c>
      <c r="F26" s="77">
        <f>SUM(F22:F24)</f>
        <v>0.18</v>
      </c>
      <c r="G26" s="65"/>
      <c r="H26" s="78"/>
      <c r="I26" s="79"/>
      <c r="J26" s="47">
        <f>SUM(J22:J25)</f>
        <v>33.052500000000002</v>
      </c>
      <c r="K26" s="80"/>
      <c r="L26" s="23"/>
      <c r="O26" s="82"/>
      <c r="Q26" s="61"/>
    </row>
    <row r="27" spans="2:26">
      <c r="B27" s="2" t="s">
        <v>17</v>
      </c>
      <c r="C27" s="81"/>
      <c r="D27" s="21"/>
      <c r="E27" s="20"/>
      <c r="F27" s="20"/>
      <c r="G27" s="20"/>
      <c r="H27" s="49"/>
      <c r="I27" s="53"/>
      <c r="J27" s="53"/>
      <c r="K27" s="22"/>
      <c r="L27" s="23"/>
    </row>
    <row r="28" spans="2:26">
      <c r="B28" s="54" t="s">
        <v>18</v>
      </c>
      <c r="C28" s="83"/>
      <c r="D28" s="69"/>
      <c r="E28" s="84"/>
      <c r="F28" s="84"/>
      <c r="G28" s="58">
        <f>P21</f>
        <v>0.5</v>
      </c>
      <c r="H28" s="55" t="s">
        <v>40</v>
      </c>
      <c r="I28" s="59">
        <f>P20</f>
        <v>40</v>
      </c>
      <c r="J28" s="31">
        <f>(I28*G28)</f>
        <v>20</v>
      </c>
      <c r="K28" s="60" t="s">
        <v>68</v>
      </c>
      <c r="L28" s="23"/>
    </row>
    <row r="29" spans="2:26">
      <c r="B29" s="54" t="s">
        <v>65</v>
      </c>
      <c r="C29" s="83"/>
      <c r="D29" s="69"/>
      <c r="E29" s="84"/>
      <c r="F29" s="84"/>
      <c r="G29" s="58">
        <f>O30</f>
        <v>35</v>
      </c>
      <c r="H29" s="55" t="s">
        <v>40</v>
      </c>
      <c r="I29" s="59">
        <f>Q30</f>
        <v>1.1000000000000001</v>
      </c>
      <c r="J29" s="31">
        <f>(I29*G29)</f>
        <v>38.5</v>
      </c>
      <c r="K29" s="60" t="s">
        <v>193</v>
      </c>
      <c r="L29" s="23"/>
      <c r="O29" s="61" t="s">
        <v>74</v>
      </c>
      <c r="P29" s="61" t="s">
        <v>3</v>
      </c>
      <c r="Q29" s="61" t="s">
        <v>58</v>
      </c>
    </row>
    <row r="30" spans="2:26">
      <c r="B30" s="54" t="s">
        <v>66</v>
      </c>
      <c r="C30" s="83"/>
      <c r="D30" s="69"/>
      <c r="E30" s="84"/>
      <c r="F30" s="84"/>
      <c r="G30" s="58">
        <f>O31</f>
        <v>20</v>
      </c>
      <c r="H30" s="55" t="s">
        <v>40</v>
      </c>
      <c r="I30" s="59">
        <f>Q31</f>
        <v>0.95</v>
      </c>
      <c r="J30" s="31">
        <f>(I30*G30)</f>
        <v>19</v>
      </c>
      <c r="K30" s="60" t="s">
        <v>156</v>
      </c>
      <c r="L30" s="23"/>
      <c r="N30" s="23" t="s">
        <v>193</v>
      </c>
      <c r="O30" s="61">
        <v>35</v>
      </c>
      <c r="P30" s="24">
        <f>(Q30*O30)</f>
        <v>38.5</v>
      </c>
      <c r="Q30" s="64">
        <v>1.1000000000000001</v>
      </c>
    </row>
    <row r="31" spans="2:26">
      <c r="B31" s="54" t="s">
        <v>69</v>
      </c>
      <c r="C31" s="83"/>
      <c r="D31" s="56">
        <v>1</v>
      </c>
      <c r="E31" s="84"/>
      <c r="F31" s="84"/>
      <c r="G31" s="58"/>
      <c r="H31" s="55" t="s">
        <v>63</v>
      </c>
      <c r="I31" s="59">
        <f>P16</f>
        <v>1.5</v>
      </c>
      <c r="J31" s="31">
        <f>P16</f>
        <v>1.5</v>
      </c>
      <c r="K31" s="60" t="s">
        <v>70</v>
      </c>
      <c r="L31" s="23"/>
      <c r="N31" s="15" t="s">
        <v>156</v>
      </c>
      <c r="O31" s="61">
        <v>20</v>
      </c>
      <c r="P31" s="24">
        <f>(Q31*O31)</f>
        <v>19</v>
      </c>
      <c r="Q31" s="64">
        <v>0.95</v>
      </c>
    </row>
    <row r="32" spans="2:26">
      <c r="B32" s="25" t="s">
        <v>19</v>
      </c>
      <c r="C32" s="85"/>
      <c r="D32" s="86"/>
      <c r="E32" s="87"/>
      <c r="F32" s="87"/>
      <c r="G32" s="87">
        <v>0.2</v>
      </c>
      <c r="H32" s="26" t="s">
        <v>40</v>
      </c>
      <c r="I32" s="30">
        <f>P17</f>
        <v>80</v>
      </c>
      <c r="J32" s="31">
        <f>(I32*G32)</f>
        <v>16</v>
      </c>
      <c r="K32" s="32" t="s">
        <v>44</v>
      </c>
      <c r="L32" s="23"/>
      <c r="Q32" s="64"/>
    </row>
    <row r="33" spans="2:12" ht="13.8" thickBot="1">
      <c r="B33" s="88" t="s">
        <v>52</v>
      </c>
      <c r="C33" s="89"/>
      <c r="D33" s="140">
        <v>1</v>
      </c>
      <c r="E33" s="91"/>
      <c r="F33" s="91"/>
      <c r="G33" s="91"/>
      <c r="H33" s="92" t="s">
        <v>63</v>
      </c>
      <c r="I33" s="38">
        <f>P19</f>
        <v>19.32</v>
      </c>
      <c r="J33" s="72">
        <f>P19</f>
        <v>19.32</v>
      </c>
      <c r="K33" s="39" t="s">
        <v>78</v>
      </c>
      <c r="L33" s="23"/>
    </row>
    <row r="34" spans="2:12" ht="13.8" thickBot="1">
      <c r="B34" s="40" t="s">
        <v>9</v>
      </c>
      <c r="C34" s="93"/>
      <c r="D34" s="66"/>
      <c r="E34" s="65"/>
      <c r="F34" s="65"/>
      <c r="G34" s="65"/>
      <c r="H34" s="65"/>
      <c r="I34" s="65"/>
      <c r="J34" s="47">
        <f>SUM(J28:J33)</f>
        <v>114.32</v>
      </c>
      <c r="K34" s="48"/>
      <c r="L34" s="23"/>
    </row>
    <row r="35" spans="2:12" ht="13.8" thickBot="1">
      <c r="B35" s="40" t="s">
        <v>20</v>
      </c>
      <c r="C35" s="94"/>
      <c r="D35" s="66"/>
      <c r="E35" s="65"/>
      <c r="F35" s="65"/>
      <c r="G35" s="65"/>
      <c r="H35" s="65"/>
      <c r="I35" s="65"/>
      <c r="J35" s="47">
        <f>(J12+J20+J26+J34)</f>
        <v>278.25850000000003</v>
      </c>
      <c r="K35" s="48"/>
      <c r="L35" s="23"/>
    </row>
    <row r="36" spans="2:12">
      <c r="B36" s="2" t="s">
        <v>21</v>
      </c>
      <c r="C36" s="81"/>
      <c r="D36" s="21"/>
      <c r="E36" s="20"/>
      <c r="F36" s="20"/>
      <c r="G36" s="20"/>
      <c r="H36" s="20"/>
      <c r="I36" s="20"/>
      <c r="J36" s="53"/>
      <c r="K36" s="22"/>
      <c r="L36" s="23"/>
    </row>
    <row r="37" spans="2:12">
      <c r="B37" s="25" t="s">
        <v>22</v>
      </c>
      <c r="C37" s="85"/>
      <c r="D37" s="86"/>
      <c r="E37" s="87"/>
      <c r="F37" s="87"/>
      <c r="G37" s="87"/>
      <c r="H37" s="87"/>
      <c r="I37" s="87"/>
      <c r="J37" s="30">
        <f>J35*0.05</f>
        <v>13.912925000000001</v>
      </c>
      <c r="K37" s="32"/>
      <c r="L37" s="23"/>
    </row>
    <row r="38" spans="2:12">
      <c r="B38" s="25" t="s">
        <v>23</v>
      </c>
      <c r="C38" s="85"/>
      <c r="D38" s="86"/>
      <c r="E38" s="87"/>
      <c r="F38" s="87"/>
      <c r="G38" s="87"/>
      <c r="H38" s="87"/>
      <c r="I38" s="87"/>
      <c r="J38" s="30">
        <f>P15</f>
        <v>100</v>
      </c>
      <c r="K38" s="32"/>
      <c r="L38" s="23"/>
    </row>
    <row r="39" spans="2:12">
      <c r="B39" s="25" t="s">
        <v>24</v>
      </c>
      <c r="C39" s="85"/>
      <c r="D39" s="86"/>
      <c r="E39" s="87"/>
      <c r="F39" s="87"/>
      <c r="G39" s="87"/>
      <c r="H39" s="87"/>
      <c r="I39" s="87"/>
      <c r="J39" s="30">
        <f>((J35+J37+J38)*0.05)</f>
        <v>19.608571250000001</v>
      </c>
      <c r="K39" s="32"/>
      <c r="L39" s="23"/>
    </row>
    <row r="40" spans="2:12">
      <c r="B40" s="95" t="s">
        <v>25</v>
      </c>
      <c r="C40" s="83"/>
      <c r="D40" s="96"/>
      <c r="E40" s="97"/>
      <c r="F40" s="97"/>
      <c r="G40" s="97"/>
      <c r="H40" s="97"/>
      <c r="I40" s="97"/>
      <c r="J40" s="98">
        <f>((J35+J37+J38)*0.03)</f>
        <v>11.765142749999999</v>
      </c>
      <c r="K40" s="73"/>
      <c r="L40" s="23"/>
    </row>
    <row r="41" spans="2:12" ht="13.8" thickBot="1">
      <c r="B41" s="99" t="s">
        <v>9</v>
      </c>
      <c r="C41" s="93"/>
      <c r="D41" s="100"/>
      <c r="E41" s="101"/>
      <c r="F41" s="101"/>
      <c r="G41" s="101"/>
      <c r="H41" s="101"/>
      <c r="I41" s="101"/>
      <c r="J41" s="102">
        <f>SUM(J37:J40)</f>
        <v>145.28663900000001</v>
      </c>
      <c r="K41" s="103"/>
      <c r="L41" s="23"/>
    </row>
    <row r="42" spans="2:12" ht="13.8" thickBot="1">
      <c r="B42" s="1" t="s">
        <v>26</v>
      </c>
      <c r="C42" s="94"/>
      <c r="D42" s="66"/>
      <c r="E42" s="44">
        <v>1.32</v>
      </c>
      <c r="F42" s="44">
        <v>0.81</v>
      </c>
      <c r="G42" s="65"/>
      <c r="H42" s="65"/>
      <c r="I42" s="65"/>
      <c r="J42" s="47">
        <f>(J35+J41)</f>
        <v>423.54513900000006</v>
      </c>
      <c r="K42" s="48"/>
      <c r="L42" s="23"/>
    </row>
    <row r="43" spans="2:12" ht="13.8" thickBot="1">
      <c r="B43" s="23"/>
      <c r="C43" s="23"/>
      <c r="D43" s="23"/>
      <c r="E43" s="104"/>
      <c r="F43" s="104"/>
      <c r="G43" s="23"/>
      <c r="H43" s="23"/>
      <c r="I43" s="23"/>
      <c r="J43" s="23"/>
      <c r="K43" s="23"/>
      <c r="L43" s="23"/>
    </row>
    <row r="44" spans="2:12">
      <c r="B44" s="105" t="s">
        <v>27</v>
      </c>
      <c r="C44" s="106" t="s">
        <v>61</v>
      </c>
      <c r="D44" s="50"/>
      <c r="E44" s="107">
        <v>325</v>
      </c>
      <c r="F44" s="50"/>
      <c r="G44" s="108"/>
      <c r="H44" s="108"/>
      <c r="I44" s="108"/>
      <c r="J44" s="108"/>
      <c r="K44" s="22"/>
      <c r="L44" s="23"/>
    </row>
    <row r="45" spans="2:12">
      <c r="B45" s="25" t="s">
        <v>28</v>
      </c>
      <c r="C45" s="109" t="s">
        <v>62</v>
      </c>
      <c r="D45" s="109"/>
      <c r="E45" s="110">
        <v>0</v>
      </c>
      <c r="F45" s="111"/>
      <c r="G45" s="23"/>
      <c r="H45" s="23"/>
      <c r="I45" s="23"/>
      <c r="J45" s="23"/>
      <c r="K45" s="73"/>
      <c r="L45" s="23"/>
    </row>
    <row r="46" spans="2:12">
      <c r="B46" s="25" t="s">
        <v>29</v>
      </c>
      <c r="C46" s="109" t="s">
        <v>62</v>
      </c>
      <c r="D46" s="109"/>
      <c r="E46" s="110">
        <f>(J42-E45)</f>
        <v>423.54513900000006</v>
      </c>
      <c r="F46" s="111"/>
      <c r="G46" s="112"/>
      <c r="H46" s="112"/>
      <c r="I46" s="112"/>
      <c r="J46" s="112"/>
      <c r="K46" s="32"/>
      <c r="L46" s="23"/>
    </row>
    <row r="47" spans="2:12">
      <c r="B47" s="25" t="s">
        <v>29</v>
      </c>
      <c r="C47" s="109" t="s">
        <v>30</v>
      </c>
      <c r="D47" s="109"/>
      <c r="E47" s="110">
        <f>(E46/E44)</f>
        <v>1.3032158123076925</v>
      </c>
      <c r="F47" s="111"/>
      <c r="G47" s="23"/>
      <c r="H47" s="23"/>
      <c r="I47" s="23"/>
      <c r="J47" s="23"/>
      <c r="K47" s="73"/>
      <c r="L47" s="23"/>
    </row>
    <row r="48" spans="2:12" ht="13.8" thickBot="1">
      <c r="B48" s="99" t="s">
        <v>71</v>
      </c>
      <c r="C48" s="113" t="s">
        <v>30</v>
      </c>
      <c r="D48" s="113"/>
      <c r="E48" s="114">
        <f>E47*1.3</f>
        <v>1.6941805560000003</v>
      </c>
      <c r="F48" s="115"/>
      <c r="G48" s="89"/>
      <c r="H48" s="89"/>
      <c r="I48" s="89"/>
      <c r="J48" s="89"/>
      <c r="K48" s="116"/>
      <c r="L48" s="23"/>
    </row>
    <row r="49" spans="2:12">
      <c r="B49" s="23"/>
      <c r="C49" s="14"/>
      <c r="D49" s="14"/>
      <c r="E49" s="117"/>
      <c r="F49" s="117"/>
      <c r="G49" s="23"/>
      <c r="H49" s="23"/>
      <c r="I49" s="23"/>
      <c r="J49" s="23"/>
      <c r="K49" s="23"/>
      <c r="L49" s="23"/>
    </row>
    <row r="50" spans="2:12">
      <c r="B50" s="23"/>
      <c r="C50" s="14"/>
      <c r="D50" s="14"/>
      <c r="E50" s="117"/>
      <c r="F50" s="117"/>
      <c r="G50" s="23"/>
      <c r="H50" s="23"/>
      <c r="I50" s="23"/>
      <c r="J50" s="23"/>
      <c r="K50" s="23"/>
      <c r="L50" s="23"/>
    </row>
    <row r="51" spans="2:12">
      <c r="B51" s="15" t="s">
        <v>72</v>
      </c>
      <c r="L51" s="23"/>
    </row>
    <row r="52" spans="2:12">
      <c r="B52" s="15" t="s">
        <v>158</v>
      </c>
    </row>
    <row r="73" spans="9:10">
      <c r="I73" s="182"/>
      <c r="J73" s="182"/>
    </row>
    <row r="74" spans="9:10">
      <c r="I74" s="173"/>
      <c r="J74" s="173"/>
    </row>
    <row r="75" spans="9:10">
      <c r="I75" s="173"/>
      <c r="J75" s="173"/>
    </row>
    <row r="76" spans="9:10">
      <c r="I76" s="173"/>
      <c r="J76" s="173"/>
    </row>
    <row r="77" spans="9:10">
      <c r="I77" s="173"/>
      <c r="J77" s="173"/>
    </row>
    <row r="78" spans="9:10">
      <c r="I78" s="173"/>
      <c r="J78" s="173"/>
    </row>
    <row r="79" spans="9:10">
      <c r="I79" s="173"/>
      <c r="J79" s="173"/>
    </row>
  </sheetData>
  <customSheetViews>
    <customSheetView guid="{8B6B86C0-2F1B-11D5-9D92-00606708EF55}" scale="75" showRuler="0" topLeftCell="A14">
      <selection activeCell="A33" sqref="A33"/>
      <pageMargins left="0.74803149606299213" right="0.74803149606299213" top="0.39370078740157483" bottom="0.39370078740157483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0">
    <mergeCell ref="C3:D5"/>
    <mergeCell ref="E3:F3"/>
    <mergeCell ref="E4:F4"/>
    <mergeCell ref="I77:J77"/>
    <mergeCell ref="I79:J79"/>
    <mergeCell ref="I73:J73"/>
    <mergeCell ref="I74:J74"/>
    <mergeCell ref="I75:J75"/>
    <mergeCell ref="I76:J76"/>
    <mergeCell ref="I78:J78"/>
  </mergeCells>
  <phoneticPr fontId="2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82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zoomScale="75" workbookViewId="0">
      <selection activeCell="K1" sqref="K1"/>
    </sheetView>
  </sheetViews>
  <sheetFormatPr defaultColWidth="9.109375" defaultRowHeight="13.2"/>
  <cols>
    <col min="1" max="1" width="2.6640625" style="15" customWidth="1"/>
    <col min="2" max="2" width="25.88671875" style="15" customWidth="1"/>
    <col min="3" max="3" width="12.33203125" style="15" customWidth="1"/>
    <col min="4" max="4" width="4.88671875" style="15" customWidth="1"/>
    <col min="5" max="5" width="9.109375" style="15"/>
    <col min="6" max="6" width="10.6640625" style="15" customWidth="1"/>
    <col min="7" max="8" width="9.109375" style="15"/>
    <col min="9" max="9" width="11.33203125" style="15" customWidth="1"/>
    <col min="10" max="10" width="13.44140625" style="15" customWidth="1"/>
    <col min="11" max="11" width="19" style="15" customWidth="1"/>
    <col min="12" max="12" width="8.109375" style="15" customWidth="1"/>
    <col min="13" max="13" width="5.109375" style="15" customWidth="1"/>
    <col min="14" max="14" width="14.88671875" style="15" customWidth="1"/>
    <col min="15" max="15" width="7" style="15" customWidth="1"/>
    <col min="16" max="16" width="11.44140625" style="15" customWidth="1"/>
    <col min="17" max="17" width="12.33203125" style="15" customWidth="1"/>
    <col min="18" max="16384" width="9.109375" style="15"/>
  </cols>
  <sheetData>
    <row r="1" spans="2:16">
      <c r="B1" t="s">
        <v>202</v>
      </c>
      <c r="I1"/>
    </row>
    <row r="2" spans="2:16" ht="13.8" thickBot="1"/>
    <row r="3" spans="2:16">
      <c r="B3" s="146"/>
      <c r="C3" s="176" t="s">
        <v>50</v>
      </c>
      <c r="D3" s="177"/>
      <c r="E3" s="175" t="s">
        <v>47</v>
      </c>
      <c r="F3" s="175"/>
      <c r="G3" s="11"/>
      <c r="H3" s="12"/>
      <c r="I3" s="11"/>
      <c r="J3" s="11"/>
      <c r="K3" s="13"/>
      <c r="L3" s="14"/>
    </row>
    <row r="4" spans="2:16" ht="13.8" thickBot="1">
      <c r="B4" s="3" t="s">
        <v>45</v>
      </c>
      <c r="C4" s="178"/>
      <c r="D4" s="179"/>
      <c r="E4" s="174" t="s">
        <v>64</v>
      </c>
      <c r="F4" s="174"/>
      <c r="G4" s="4" t="s">
        <v>0</v>
      </c>
      <c r="H4" s="3" t="s">
        <v>1</v>
      </c>
      <c r="I4" s="4" t="s">
        <v>2</v>
      </c>
      <c r="J4" s="4" t="s">
        <v>3</v>
      </c>
      <c r="K4" s="8" t="s">
        <v>4</v>
      </c>
      <c r="L4" s="16"/>
    </row>
    <row r="5" spans="2:16" ht="13.8" thickBot="1">
      <c r="B5" s="17"/>
      <c r="C5" s="180"/>
      <c r="D5" s="181"/>
      <c r="E5" s="6" t="s">
        <v>48</v>
      </c>
      <c r="F5" s="7" t="s">
        <v>49</v>
      </c>
      <c r="G5" s="18"/>
      <c r="H5" s="17"/>
      <c r="I5" s="5" t="s">
        <v>163</v>
      </c>
      <c r="J5" s="5" t="s">
        <v>163</v>
      </c>
      <c r="K5" s="19"/>
      <c r="L5" s="14"/>
    </row>
    <row r="6" spans="2:16">
      <c r="B6" s="2" t="s">
        <v>5</v>
      </c>
      <c r="C6" s="20"/>
      <c r="D6" s="21"/>
      <c r="E6" s="20"/>
      <c r="F6" s="20"/>
      <c r="G6" s="20"/>
      <c r="H6" s="20"/>
      <c r="I6" s="20"/>
      <c r="J6" s="21"/>
      <c r="K6" s="22"/>
      <c r="L6" s="23"/>
      <c r="P6" s="24"/>
    </row>
    <row r="7" spans="2:16">
      <c r="B7" s="25" t="s">
        <v>51</v>
      </c>
      <c r="C7" s="26" t="s">
        <v>104</v>
      </c>
      <c r="D7" s="27">
        <v>1</v>
      </c>
      <c r="E7" s="28">
        <v>0.55000000000000004</v>
      </c>
      <c r="F7" s="28">
        <v>0.55000000000000004</v>
      </c>
      <c r="G7" s="29">
        <v>2</v>
      </c>
      <c r="H7" s="26" t="s">
        <v>63</v>
      </c>
      <c r="I7" s="30">
        <f>P11</f>
        <v>4.08</v>
      </c>
      <c r="J7" s="31">
        <f>(G7*I7)+(E7*P12)</f>
        <v>10.91</v>
      </c>
      <c r="K7" s="32" t="s">
        <v>32</v>
      </c>
      <c r="L7" s="23"/>
      <c r="P7" s="24"/>
    </row>
    <row r="8" spans="2:16">
      <c r="B8" s="25" t="s">
        <v>6</v>
      </c>
      <c r="C8" s="26" t="s">
        <v>53</v>
      </c>
      <c r="D8" s="27"/>
      <c r="E8" s="28">
        <v>0.08</v>
      </c>
      <c r="F8" s="28">
        <v>0.08</v>
      </c>
      <c r="G8" s="29">
        <v>1.5</v>
      </c>
      <c r="H8" s="26" t="s">
        <v>63</v>
      </c>
      <c r="I8" s="30">
        <f>P11</f>
        <v>4.08</v>
      </c>
      <c r="J8" s="31">
        <f>(I8*G8)+(P12*E8)</f>
        <v>6.5200000000000005</v>
      </c>
      <c r="K8" s="32" t="s">
        <v>34</v>
      </c>
      <c r="L8" s="23"/>
      <c r="P8" s="24"/>
    </row>
    <row r="9" spans="2:16">
      <c r="B9" s="25" t="s">
        <v>8</v>
      </c>
      <c r="C9" s="26" t="s">
        <v>97</v>
      </c>
      <c r="D9" s="27">
        <v>1</v>
      </c>
      <c r="E9" s="28">
        <v>7.0000000000000007E-2</v>
      </c>
      <c r="F9" s="28">
        <v>7.0000000000000007E-2</v>
      </c>
      <c r="G9" s="29">
        <v>1</v>
      </c>
      <c r="H9" s="26" t="s">
        <v>63</v>
      </c>
      <c r="I9" s="30">
        <f>P11</f>
        <v>4.08</v>
      </c>
      <c r="J9" s="31">
        <f>(I9*G9)</f>
        <v>4.08</v>
      </c>
      <c r="K9" s="32" t="s">
        <v>35</v>
      </c>
      <c r="L9" s="23"/>
      <c r="P9" s="24"/>
    </row>
    <row r="10" spans="2:16" ht="13.8" thickBot="1">
      <c r="B10" s="33" t="s">
        <v>8</v>
      </c>
      <c r="C10" s="34" t="s">
        <v>97</v>
      </c>
      <c r="D10" s="35"/>
      <c r="E10" s="36">
        <v>7.0000000000000007E-2</v>
      </c>
      <c r="F10" s="36"/>
      <c r="G10" s="37"/>
      <c r="H10" s="34" t="s">
        <v>39</v>
      </c>
      <c r="I10" s="38">
        <f>P12</f>
        <v>5</v>
      </c>
      <c r="J10" s="31">
        <f>P12*E10</f>
        <v>0.35000000000000003</v>
      </c>
      <c r="K10" s="39" t="s">
        <v>36</v>
      </c>
      <c r="L10" s="23"/>
      <c r="P10" s="15" t="s">
        <v>161</v>
      </c>
    </row>
    <row r="11" spans="2:16" ht="13.8" thickBot="1">
      <c r="B11" s="40" t="s">
        <v>9</v>
      </c>
      <c r="C11" s="41"/>
      <c r="D11" s="42"/>
      <c r="E11" s="43">
        <f>SUM(E7:E10)</f>
        <v>0.77</v>
      </c>
      <c r="F11" s="44">
        <f>SUM(F7:F10)</f>
        <v>0.7</v>
      </c>
      <c r="G11" s="45"/>
      <c r="H11" s="42"/>
      <c r="I11" s="46"/>
      <c r="J11" s="47">
        <f>SUM(J7:J10)</f>
        <v>21.86</v>
      </c>
      <c r="K11" s="48"/>
      <c r="L11" s="23"/>
      <c r="N11" s="15" t="s">
        <v>77</v>
      </c>
      <c r="P11" s="24">
        <v>4.08</v>
      </c>
    </row>
    <row r="12" spans="2:16">
      <c r="B12" s="2" t="s">
        <v>10</v>
      </c>
      <c r="C12" s="49"/>
      <c r="D12" s="50"/>
      <c r="E12" s="51"/>
      <c r="F12" s="51"/>
      <c r="G12" s="52"/>
      <c r="H12" s="49"/>
      <c r="I12" s="53"/>
      <c r="J12" s="53"/>
      <c r="K12" s="22"/>
      <c r="L12" s="23"/>
      <c r="N12" t="s">
        <v>164</v>
      </c>
      <c r="P12" s="24">
        <v>5</v>
      </c>
    </row>
    <row r="13" spans="2:16">
      <c r="B13" s="54" t="s">
        <v>11</v>
      </c>
      <c r="C13" s="55" t="s">
        <v>53</v>
      </c>
      <c r="D13" s="56">
        <v>1</v>
      </c>
      <c r="E13" s="57">
        <v>0.09</v>
      </c>
      <c r="F13" s="57">
        <v>0.09</v>
      </c>
      <c r="G13" s="58">
        <v>0.5</v>
      </c>
      <c r="H13" s="55" t="s">
        <v>63</v>
      </c>
      <c r="I13" s="59">
        <f>P11</f>
        <v>4.08</v>
      </c>
      <c r="J13" s="31">
        <f>(P12*E13)+(G13*I13)</f>
        <v>2.4900000000000002</v>
      </c>
      <c r="K13" s="60" t="s">
        <v>37</v>
      </c>
      <c r="L13" s="23"/>
      <c r="N13" t="s">
        <v>165</v>
      </c>
      <c r="P13" s="24">
        <v>4</v>
      </c>
    </row>
    <row r="14" spans="2:16">
      <c r="B14" s="25" t="s">
        <v>11</v>
      </c>
      <c r="C14" s="26" t="s">
        <v>53</v>
      </c>
      <c r="D14" s="27"/>
      <c r="E14" s="28">
        <v>0.09</v>
      </c>
      <c r="F14" s="28"/>
      <c r="G14" s="29"/>
      <c r="H14" s="26" t="s">
        <v>39</v>
      </c>
      <c r="I14" s="30">
        <f>P12</f>
        <v>5</v>
      </c>
      <c r="J14" s="30">
        <f>I14*E14</f>
        <v>0.44999999999999996</v>
      </c>
      <c r="K14" s="32" t="s">
        <v>36</v>
      </c>
      <c r="L14" s="23"/>
      <c r="N14" s="15" t="s">
        <v>16</v>
      </c>
      <c r="P14" s="24">
        <v>40</v>
      </c>
    </row>
    <row r="15" spans="2:16">
      <c r="B15" s="54" t="s">
        <v>12</v>
      </c>
      <c r="C15" s="55" t="s">
        <v>97</v>
      </c>
      <c r="D15" s="56">
        <v>1</v>
      </c>
      <c r="E15" s="57">
        <v>0.09</v>
      </c>
      <c r="F15" s="57">
        <v>0.09</v>
      </c>
      <c r="G15" s="58">
        <v>0.5</v>
      </c>
      <c r="H15" s="55" t="s">
        <v>63</v>
      </c>
      <c r="I15" s="59">
        <f>P11</f>
        <v>4.08</v>
      </c>
      <c r="J15" s="31">
        <f>(G15*I15)</f>
        <v>2.04</v>
      </c>
      <c r="K15" s="60" t="s">
        <v>38</v>
      </c>
      <c r="L15" s="23"/>
      <c r="N15" s="15" t="s">
        <v>23</v>
      </c>
      <c r="P15" s="24">
        <v>25</v>
      </c>
    </row>
    <row r="16" spans="2:16" ht="13.8" thickBot="1">
      <c r="B16" s="25" t="s">
        <v>12</v>
      </c>
      <c r="C16" s="26" t="s">
        <v>97</v>
      </c>
      <c r="D16" s="27"/>
      <c r="E16" s="28">
        <v>0.09</v>
      </c>
      <c r="F16" s="62"/>
      <c r="G16" s="29"/>
      <c r="H16" s="26" t="s">
        <v>39</v>
      </c>
      <c r="I16" s="30">
        <f>P12</f>
        <v>5</v>
      </c>
      <c r="J16" s="31">
        <f>(I16*E16)</f>
        <v>0.44999999999999996</v>
      </c>
      <c r="K16" s="63" t="s">
        <v>36</v>
      </c>
      <c r="L16" s="23"/>
      <c r="N16" s="15" t="s">
        <v>69</v>
      </c>
      <c r="O16" s="61"/>
      <c r="P16" s="24">
        <v>1.5</v>
      </c>
    </row>
    <row r="17" spans="2:26" ht="13.8" thickBot="1">
      <c r="B17" s="40" t="s">
        <v>9</v>
      </c>
      <c r="C17" s="65"/>
      <c r="D17" s="66"/>
      <c r="E17" s="44">
        <f>SUM(E13:E16)</f>
        <v>0.36</v>
      </c>
      <c r="F17" s="44">
        <f>SUM(F13:F16)</f>
        <v>0.18</v>
      </c>
      <c r="G17" s="67"/>
      <c r="H17" s="41"/>
      <c r="I17" s="68"/>
      <c r="J17" s="47">
        <f>SUM(J13:J16)</f>
        <v>5.4300000000000006</v>
      </c>
      <c r="K17" s="48"/>
      <c r="L17" s="23"/>
      <c r="N17" s="15" t="s">
        <v>57</v>
      </c>
      <c r="P17" s="24">
        <v>50</v>
      </c>
      <c r="Q17" s="64"/>
    </row>
    <row r="18" spans="2:26">
      <c r="B18" s="2" t="s">
        <v>13</v>
      </c>
      <c r="C18" s="20"/>
      <c r="D18" s="21"/>
      <c r="E18" s="51"/>
      <c r="F18" s="51"/>
      <c r="G18" s="52"/>
      <c r="H18" s="49"/>
      <c r="I18" s="53"/>
      <c r="J18" s="53"/>
      <c r="K18" s="22"/>
      <c r="N18" s="15" t="s">
        <v>79</v>
      </c>
      <c r="P18" s="24">
        <v>7</v>
      </c>
    </row>
    <row r="19" spans="2:26">
      <c r="B19" s="54" t="s">
        <v>14</v>
      </c>
      <c r="C19" s="55" t="s">
        <v>105</v>
      </c>
      <c r="D19" s="56">
        <v>1</v>
      </c>
      <c r="E19" s="57">
        <v>10</v>
      </c>
      <c r="F19" s="57"/>
      <c r="G19" s="58"/>
      <c r="H19" s="55" t="s">
        <v>39</v>
      </c>
      <c r="I19" s="59">
        <f>P13</f>
        <v>4</v>
      </c>
      <c r="J19" s="31">
        <f>I19*E19</f>
        <v>40</v>
      </c>
      <c r="K19" s="60" t="s">
        <v>107</v>
      </c>
      <c r="L19" s="23"/>
      <c r="N19" s="15" t="s">
        <v>80</v>
      </c>
      <c r="P19" s="24">
        <v>10</v>
      </c>
    </row>
    <row r="20" spans="2:26">
      <c r="B20" s="54" t="s">
        <v>106</v>
      </c>
      <c r="C20" s="55" t="s">
        <v>105</v>
      </c>
      <c r="D20" s="69"/>
      <c r="E20" s="57">
        <v>0.2</v>
      </c>
      <c r="F20" s="57">
        <v>0.6</v>
      </c>
      <c r="G20" s="58"/>
      <c r="H20" s="55" t="s">
        <v>39</v>
      </c>
      <c r="I20" s="59">
        <v>3</v>
      </c>
      <c r="J20" s="30">
        <f>(I20*F20)+(P12*E20)</f>
        <v>2.8</v>
      </c>
      <c r="K20" s="60" t="s">
        <v>108</v>
      </c>
      <c r="L20" s="23"/>
    </row>
    <row r="21" spans="2:26" ht="13.8" thickBot="1">
      <c r="B21" s="33" t="s">
        <v>16</v>
      </c>
      <c r="C21" s="34" t="s">
        <v>105</v>
      </c>
      <c r="D21" s="70"/>
      <c r="E21" s="71">
        <v>0.05</v>
      </c>
      <c r="F21" s="71">
        <v>0.05</v>
      </c>
      <c r="G21" s="37"/>
      <c r="H21" s="34" t="s">
        <v>40</v>
      </c>
      <c r="I21" s="72">
        <f>P14/2000</f>
        <v>0.02</v>
      </c>
      <c r="J21" s="30">
        <f>I21*E39</f>
        <v>2</v>
      </c>
      <c r="K21" s="73" t="s">
        <v>42</v>
      </c>
      <c r="L21" s="23"/>
      <c r="O21" s="61"/>
      <c r="Q21" s="61"/>
    </row>
    <row r="22" spans="2:26" ht="13.8" thickBot="1">
      <c r="B22" s="12" t="s">
        <v>9</v>
      </c>
      <c r="C22" s="65"/>
      <c r="D22" s="76"/>
      <c r="E22" s="77">
        <f>SUM(E19:E21)</f>
        <v>10.25</v>
      </c>
      <c r="F22" s="77">
        <f>SUM(F19:F21)</f>
        <v>0.65</v>
      </c>
      <c r="G22" s="65"/>
      <c r="H22" s="78"/>
      <c r="I22" s="79"/>
      <c r="J22" s="47">
        <f>SUM(J19:J21)</f>
        <v>44.8</v>
      </c>
      <c r="K22" s="80"/>
      <c r="L22" s="23"/>
      <c r="O22" s="61"/>
      <c r="P22" s="23"/>
      <c r="Q22" s="14"/>
      <c r="R22" s="14"/>
      <c r="S22" s="74"/>
      <c r="T22" s="74"/>
      <c r="U22" s="23"/>
      <c r="V22" s="14"/>
      <c r="W22" s="75"/>
      <c r="X22" s="75"/>
      <c r="Y22" s="23"/>
      <c r="Z22" s="23"/>
    </row>
    <row r="23" spans="2:26">
      <c r="B23" s="2" t="s">
        <v>17</v>
      </c>
      <c r="C23" s="81"/>
      <c r="D23" s="20"/>
      <c r="E23" s="20"/>
      <c r="F23" s="20"/>
      <c r="G23" s="20"/>
      <c r="H23" s="49"/>
      <c r="I23" s="53"/>
      <c r="J23" s="53"/>
      <c r="K23" s="22"/>
      <c r="L23" s="23"/>
      <c r="O23" s="61"/>
      <c r="Q23" s="61"/>
    </row>
    <row r="24" spans="2:26">
      <c r="B24" s="54" t="s">
        <v>18</v>
      </c>
      <c r="C24" s="83"/>
      <c r="D24" s="84"/>
      <c r="E24" s="84"/>
      <c r="F24" s="84"/>
      <c r="G24" s="58">
        <f>P19</f>
        <v>10</v>
      </c>
      <c r="H24" s="55" t="s">
        <v>40</v>
      </c>
      <c r="I24" s="59">
        <f>P18</f>
        <v>7</v>
      </c>
      <c r="J24" s="31">
        <f>(I24*G24)</f>
        <v>70</v>
      </c>
      <c r="K24" s="60" t="s">
        <v>68</v>
      </c>
      <c r="L24" s="23"/>
      <c r="O24" s="82"/>
      <c r="Q24" s="61"/>
    </row>
    <row r="25" spans="2:26">
      <c r="B25" s="54" t="s">
        <v>65</v>
      </c>
      <c r="C25" s="83"/>
      <c r="D25" s="84"/>
      <c r="E25" s="84"/>
      <c r="F25" s="84"/>
      <c r="G25" s="58">
        <v>15</v>
      </c>
      <c r="H25" s="55" t="s">
        <v>40</v>
      </c>
      <c r="I25" s="59">
        <f>Q28</f>
        <v>1.4</v>
      </c>
      <c r="J25" s="31">
        <f>(I25*G25)</f>
        <v>21</v>
      </c>
      <c r="K25" s="60" t="s">
        <v>43</v>
      </c>
      <c r="L25" s="23"/>
    </row>
    <row r="26" spans="2:26">
      <c r="B26" s="54" t="s">
        <v>66</v>
      </c>
      <c r="C26" s="83"/>
      <c r="D26" s="84"/>
      <c r="E26" s="84"/>
      <c r="F26" s="84"/>
      <c r="G26" s="58">
        <v>0</v>
      </c>
      <c r="H26" s="55" t="s">
        <v>40</v>
      </c>
      <c r="I26" s="59">
        <f>Q29</f>
        <v>0</v>
      </c>
      <c r="J26" s="31">
        <f>(I26*G26)</f>
        <v>0</v>
      </c>
      <c r="K26" s="60"/>
      <c r="L26" s="23"/>
    </row>
    <row r="27" spans="2:26">
      <c r="B27" s="54" t="s">
        <v>69</v>
      </c>
      <c r="C27" s="83"/>
      <c r="D27" s="55">
        <v>1</v>
      </c>
      <c r="E27" s="84"/>
      <c r="F27" s="84"/>
      <c r="G27" s="58"/>
      <c r="H27" s="55" t="s">
        <v>63</v>
      </c>
      <c r="I27" s="59">
        <f>P16</f>
        <v>1.5</v>
      </c>
      <c r="J27" s="31">
        <f>I27*D27</f>
        <v>1.5</v>
      </c>
      <c r="K27" s="60" t="s">
        <v>70</v>
      </c>
      <c r="L27" s="23"/>
      <c r="O27" s="61" t="s">
        <v>74</v>
      </c>
      <c r="P27" s="61" t="s">
        <v>3</v>
      </c>
      <c r="Q27" s="61" t="s">
        <v>58</v>
      </c>
    </row>
    <row r="28" spans="2:26" ht="13.8" thickBot="1">
      <c r="B28" s="25" t="s">
        <v>19</v>
      </c>
      <c r="C28" s="91"/>
      <c r="D28" s="87"/>
      <c r="E28" s="87"/>
      <c r="F28" s="87"/>
      <c r="G28" s="87">
        <v>0.4</v>
      </c>
      <c r="H28" s="26" t="s">
        <v>40</v>
      </c>
      <c r="I28" s="30">
        <f>P17</f>
        <v>50</v>
      </c>
      <c r="J28" s="31">
        <f>(I28*G28)</f>
        <v>20</v>
      </c>
      <c r="K28" s="32" t="s">
        <v>159</v>
      </c>
      <c r="L28" s="23"/>
      <c r="N28" s="23" t="s">
        <v>43</v>
      </c>
      <c r="O28" s="61">
        <v>10</v>
      </c>
      <c r="P28" s="24">
        <f>(Q28*O28)</f>
        <v>14</v>
      </c>
      <c r="Q28" s="64">
        <f>'Buğday S'!Q28</f>
        <v>1.4</v>
      </c>
    </row>
    <row r="29" spans="2:26" ht="13.8" thickBot="1">
      <c r="B29" s="40" t="s">
        <v>9</v>
      </c>
      <c r="C29" s="93"/>
      <c r="D29" s="66"/>
      <c r="E29" s="65"/>
      <c r="F29" s="65"/>
      <c r="G29" s="65"/>
      <c r="H29" s="65"/>
      <c r="I29" s="65"/>
      <c r="J29" s="47">
        <f>SUM(J24:J28)</f>
        <v>112.5</v>
      </c>
      <c r="K29" s="48"/>
      <c r="L29" s="23"/>
      <c r="O29" s="61"/>
      <c r="P29" s="24"/>
      <c r="Q29" s="64"/>
    </row>
    <row r="30" spans="2:26" ht="13.8" thickBot="1">
      <c r="B30" s="40" t="s">
        <v>20</v>
      </c>
      <c r="C30" s="94"/>
      <c r="D30" s="66"/>
      <c r="E30" s="65"/>
      <c r="F30" s="65"/>
      <c r="G30" s="65"/>
      <c r="H30" s="65"/>
      <c r="I30" s="65"/>
      <c r="J30" s="47">
        <f>(J11+J17+J22+J29)</f>
        <v>184.59</v>
      </c>
      <c r="K30" s="48"/>
      <c r="L30" s="23"/>
      <c r="Q30" s="64"/>
    </row>
    <row r="31" spans="2:26">
      <c r="B31" s="2" t="s">
        <v>21</v>
      </c>
      <c r="C31" s="81"/>
      <c r="D31" s="21"/>
      <c r="E31" s="20"/>
      <c r="F31" s="20"/>
      <c r="G31" s="20"/>
      <c r="H31" s="20"/>
      <c r="I31" s="20"/>
      <c r="J31" s="53"/>
      <c r="K31" s="22"/>
      <c r="L31" s="23"/>
    </row>
    <row r="32" spans="2:26">
      <c r="B32" s="25" t="s">
        <v>22</v>
      </c>
      <c r="C32" s="85"/>
      <c r="D32" s="86"/>
      <c r="E32" s="87"/>
      <c r="F32" s="87"/>
      <c r="G32" s="87"/>
      <c r="H32" s="87"/>
      <c r="I32" s="87"/>
      <c r="J32" s="30">
        <f>J30*0.05</f>
        <v>9.2294999999999998</v>
      </c>
      <c r="K32" s="32"/>
      <c r="L32" s="23"/>
    </row>
    <row r="33" spans="2:16">
      <c r="B33" s="25" t="s">
        <v>23</v>
      </c>
      <c r="C33" s="85"/>
      <c r="D33" s="86"/>
      <c r="E33" s="87"/>
      <c r="F33" s="87"/>
      <c r="G33" s="87"/>
      <c r="H33" s="87"/>
      <c r="I33" s="87"/>
      <c r="J33" s="30">
        <f>P15</f>
        <v>25</v>
      </c>
      <c r="K33" s="32"/>
      <c r="L33" s="23"/>
    </row>
    <row r="34" spans="2:16">
      <c r="B34" s="25" t="s">
        <v>24</v>
      </c>
      <c r="C34" s="85"/>
      <c r="D34" s="86"/>
      <c r="E34" s="87"/>
      <c r="F34" s="87"/>
      <c r="G34" s="87"/>
      <c r="H34" s="87"/>
      <c r="I34" s="87"/>
      <c r="J34" s="30">
        <f>((J30+J32+J33)*0.05)</f>
        <v>10.940975000000002</v>
      </c>
      <c r="K34" s="32"/>
      <c r="L34" s="23"/>
    </row>
    <row r="35" spans="2:16">
      <c r="B35" s="95" t="s">
        <v>25</v>
      </c>
      <c r="C35" s="83"/>
      <c r="D35" s="96"/>
      <c r="E35" s="97"/>
      <c r="F35" s="97"/>
      <c r="G35" s="97"/>
      <c r="H35" s="97"/>
      <c r="I35" s="97"/>
      <c r="J35" s="98">
        <f>((J30+J32+J33)*0.03)</f>
        <v>6.5645850000000001</v>
      </c>
      <c r="K35" s="73"/>
      <c r="L35" s="23"/>
    </row>
    <row r="36" spans="2:16" ht="13.8" thickBot="1">
      <c r="B36" s="99" t="s">
        <v>9</v>
      </c>
      <c r="C36" s="93"/>
      <c r="D36" s="100"/>
      <c r="E36" s="101"/>
      <c r="F36" s="101"/>
      <c r="G36" s="101"/>
      <c r="H36" s="101"/>
      <c r="I36" s="101"/>
      <c r="J36" s="102">
        <f>SUM(J32:J35)</f>
        <v>51.735060000000004</v>
      </c>
      <c r="K36" s="103"/>
      <c r="L36" s="23"/>
    </row>
    <row r="37" spans="2:16" ht="13.8" thickBot="1">
      <c r="B37" s="1" t="s">
        <v>26</v>
      </c>
      <c r="C37" s="94"/>
      <c r="D37" s="66"/>
      <c r="E37" s="44"/>
      <c r="F37" s="44"/>
      <c r="G37" s="65"/>
      <c r="H37" s="65"/>
      <c r="I37" s="65"/>
      <c r="J37" s="47">
        <f>(J30+J36)</f>
        <v>236.32506000000001</v>
      </c>
      <c r="K37" s="48"/>
      <c r="L37" s="23"/>
      <c r="P37" s="15" t="s">
        <v>60</v>
      </c>
    </row>
    <row r="38" spans="2:16" ht="13.8" thickBot="1">
      <c r="B38" s="23"/>
      <c r="C38" s="23"/>
      <c r="D38" s="23"/>
      <c r="E38" s="104"/>
      <c r="F38" s="104"/>
      <c r="G38" s="23"/>
      <c r="H38" s="23"/>
      <c r="I38" s="23"/>
      <c r="J38" s="23"/>
      <c r="K38" s="23"/>
      <c r="L38" s="23"/>
    </row>
    <row r="39" spans="2:16">
      <c r="B39" s="105" t="s">
        <v>27</v>
      </c>
      <c r="C39" s="106" t="s">
        <v>61</v>
      </c>
      <c r="D39" s="50"/>
      <c r="E39" s="107">
        <v>100</v>
      </c>
      <c r="F39" s="50"/>
      <c r="G39" s="108"/>
      <c r="H39" s="108"/>
      <c r="I39" s="108"/>
      <c r="J39" s="108"/>
      <c r="K39" s="22"/>
      <c r="L39" s="23"/>
    </row>
    <row r="40" spans="2:16">
      <c r="B40" s="25" t="s">
        <v>28</v>
      </c>
      <c r="C40" s="109" t="s">
        <v>62</v>
      </c>
      <c r="D40" s="109"/>
      <c r="E40" s="110">
        <v>0</v>
      </c>
      <c r="F40" s="111"/>
      <c r="G40" s="23"/>
      <c r="H40" s="23"/>
      <c r="I40" s="23"/>
      <c r="J40" s="23"/>
      <c r="K40" s="73"/>
      <c r="L40" s="23"/>
    </row>
    <row r="41" spans="2:16">
      <c r="B41" s="25" t="s">
        <v>29</v>
      </c>
      <c r="C41" s="109" t="s">
        <v>62</v>
      </c>
      <c r="D41" s="109"/>
      <c r="E41" s="110">
        <f>(J37-E40)</f>
        <v>236.32506000000001</v>
      </c>
      <c r="F41" s="111"/>
      <c r="G41" s="112"/>
      <c r="H41" s="112"/>
      <c r="I41" s="112"/>
      <c r="J41" s="112"/>
      <c r="K41" s="32"/>
      <c r="L41" s="23"/>
    </row>
    <row r="42" spans="2:16">
      <c r="B42" s="25" t="s">
        <v>29</v>
      </c>
      <c r="C42" s="109" t="s">
        <v>30</v>
      </c>
      <c r="D42" s="109"/>
      <c r="E42" s="110">
        <f>(E41/E39)</f>
        <v>2.3632506000000002</v>
      </c>
      <c r="F42" s="111"/>
      <c r="G42" s="23"/>
      <c r="H42" s="23"/>
      <c r="I42" s="23"/>
      <c r="J42" s="23"/>
      <c r="K42" s="73"/>
      <c r="L42" s="23"/>
    </row>
    <row r="43" spans="2:16" ht="13.8" thickBot="1">
      <c r="B43" s="99" t="s">
        <v>71</v>
      </c>
      <c r="C43" s="113" t="s">
        <v>30</v>
      </c>
      <c r="D43" s="113"/>
      <c r="E43" s="114">
        <f>E42*1.3</f>
        <v>3.0722257800000006</v>
      </c>
      <c r="F43" s="115"/>
      <c r="G43" s="89"/>
      <c r="H43" s="89"/>
      <c r="I43" s="89"/>
      <c r="J43" s="89"/>
      <c r="K43" s="116"/>
      <c r="L43" s="23"/>
    </row>
    <row r="44" spans="2:16">
      <c r="L44" s="23"/>
    </row>
    <row r="45" spans="2:16">
      <c r="B45" s="23"/>
      <c r="C45" s="14"/>
      <c r="D45" s="14"/>
      <c r="E45" s="117"/>
      <c r="F45" s="117"/>
      <c r="G45" s="23"/>
      <c r="H45" s="23"/>
      <c r="I45" s="23"/>
      <c r="J45" s="23"/>
      <c r="K45" s="23"/>
      <c r="L45" s="23"/>
    </row>
    <row r="46" spans="2:16">
      <c r="B46" s="15" t="s">
        <v>72</v>
      </c>
      <c r="C46" s="14"/>
      <c r="D46" s="14"/>
      <c r="E46" s="117"/>
      <c r="F46" s="117"/>
      <c r="G46" s="23"/>
      <c r="H46" s="23"/>
      <c r="I46" s="23"/>
      <c r="J46" s="23"/>
      <c r="K46" s="23"/>
      <c r="L46" s="23"/>
    </row>
    <row r="47" spans="2:16">
      <c r="B47" s="15" t="s">
        <v>158</v>
      </c>
      <c r="L47" s="23"/>
    </row>
    <row r="48" spans="2:16">
      <c r="L48" s="23"/>
    </row>
    <row r="49" spans="12:12">
      <c r="L49" s="23"/>
    </row>
    <row r="71" spans="9:10">
      <c r="I71" s="182"/>
      <c r="J71" s="182"/>
    </row>
    <row r="72" spans="9:10">
      <c r="I72" s="173"/>
      <c r="J72" s="173"/>
    </row>
    <row r="73" spans="9:10">
      <c r="I73" s="173"/>
      <c r="J73" s="173"/>
    </row>
    <row r="74" spans="9:10">
      <c r="I74" s="173"/>
      <c r="J74" s="173"/>
    </row>
    <row r="75" spans="9:10">
      <c r="I75" s="173"/>
      <c r="J75" s="173"/>
    </row>
    <row r="76" spans="9:10">
      <c r="I76" s="173"/>
      <c r="J76" s="173"/>
    </row>
    <row r="77" spans="9:10">
      <c r="I77" s="173"/>
      <c r="J77" s="173"/>
    </row>
  </sheetData>
  <mergeCells count="10">
    <mergeCell ref="I73:J73"/>
    <mergeCell ref="I74:J74"/>
    <mergeCell ref="I75:J75"/>
    <mergeCell ref="I76:J76"/>
    <mergeCell ref="I77:J77"/>
    <mergeCell ref="C3:D5"/>
    <mergeCell ref="E3:F3"/>
    <mergeCell ref="E4:F4"/>
    <mergeCell ref="I71:J71"/>
    <mergeCell ref="I72:J72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zoomScale="75" workbookViewId="0">
      <selection activeCell="K1" sqref="K1:K1048576"/>
    </sheetView>
  </sheetViews>
  <sheetFormatPr defaultColWidth="9.109375" defaultRowHeight="13.2"/>
  <cols>
    <col min="1" max="1" width="2.6640625" style="15" customWidth="1"/>
    <col min="2" max="2" width="25.88671875" style="15" customWidth="1"/>
    <col min="3" max="3" width="12.33203125" style="15" customWidth="1"/>
    <col min="4" max="4" width="4.88671875" style="15" customWidth="1"/>
    <col min="5" max="5" width="9.109375" style="15"/>
    <col min="6" max="6" width="10.6640625" style="15" customWidth="1"/>
    <col min="7" max="8" width="9.109375" style="15"/>
    <col min="9" max="9" width="11.33203125" style="15" customWidth="1"/>
    <col min="10" max="10" width="13.44140625" style="15" customWidth="1"/>
    <col min="11" max="11" width="19" style="15" customWidth="1"/>
    <col min="12" max="12" width="8.109375" style="15" customWidth="1"/>
    <col min="13" max="13" width="5.109375" style="15" customWidth="1"/>
    <col min="14" max="14" width="14.88671875" style="15" customWidth="1"/>
    <col min="15" max="15" width="7" style="15" customWidth="1"/>
    <col min="16" max="16" width="11.44140625" style="15" customWidth="1"/>
    <col min="17" max="17" width="12.33203125" style="15" customWidth="1"/>
    <col min="18" max="16384" width="9.109375" style="15"/>
  </cols>
  <sheetData>
    <row r="1" spans="2:16" s="9" customFormat="1">
      <c r="B1" t="s">
        <v>203</v>
      </c>
      <c r="I1"/>
    </row>
    <row r="2" spans="2:16" s="9" customFormat="1" ht="13.8" thickBot="1"/>
    <row r="3" spans="2:16">
      <c r="B3" s="10"/>
      <c r="C3" s="176" t="s">
        <v>50</v>
      </c>
      <c r="D3" s="177"/>
      <c r="E3" s="175" t="s">
        <v>47</v>
      </c>
      <c r="F3" s="175"/>
      <c r="G3" s="11"/>
      <c r="H3" s="12"/>
      <c r="I3" s="11"/>
      <c r="J3" s="11"/>
      <c r="K3" s="13"/>
      <c r="L3" s="14"/>
    </row>
    <row r="4" spans="2:16" ht="13.8" thickBot="1">
      <c r="B4" s="3" t="s">
        <v>45</v>
      </c>
      <c r="C4" s="178"/>
      <c r="D4" s="179"/>
      <c r="E4" s="174" t="s">
        <v>64</v>
      </c>
      <c r="F4" s="174"/>
      <c r="G4" s="4" t="s">
        <v>0</v>
      </c>
      <c r="H4" s="3" t="s">
        <v>1</v>
      </c>
      <c r="I4" s="4" t="s">
        <v>2</v>
      </c>
      <c r="J4" s="4" t="s">
        <v>3</v>
      </c>
      <c r="K4" s="8" t="s">
        <v>4</v>
      </c>
      <c r="L4" s="16"/>
    </row>
    <row r="5" spans="2:16" ht="13.8" thickBot="1">
      <c r="B5" s="17"/>
      <c r="C5" s="180"/>
      <c r="D5" s="181"/>
      <c r="E5" s="6" t="s">
        <v>48</v>
      </c>
      <c r="F5" s="7" t="s">
        <v>49</v>
      </c>
      <c r="G5" s="18"/>
      <c r="H5" s="17"/>
      <c r="I5" s="5" t="s">
        <v>163</v>
      </c>
      <c r="J5" s="5" t="s">
        <v>163</v>
      </c>
      <c r="K5" s="19"/>
      <c r="L5" s="14"/>
    </row>
    <row r="6" spans="2:16">
      <c r="B6" s="2" t="s">
        <v>5</v>
      </c>
      <c r="C6" s="20"/>
      <c r="D6" s="21"/>
      <c r="E6" s="20"/>
      <c r="F6" s="20"/>
      <c r="G6" s="20"/>
      <c r="H6" s="20"/>
      <c r="I6" s="20"/>
      <c r="J6" s="21"/>
      <c r="K6" s="22"/>
      <c r="L6" s="23"/>
      <c r="P6" s="24"/>
    </row>
    <row r="7" spans="2:16">
      <c r="B7" s="25" t="s">
        <v>51</v>
      </c>
      <c r="C7" s="26" t="s">
        <v>109</v>
      </c>
      <c r="D7" s="27">
        <v>1</v>
      </c>
      <c r="E7" s="28">
        <v>0.35</v>
      </c>
      <c r="F7" s="28">
        <v>0.35</v>
      </c>
      <c r="G7" s="29">
        <v>2</v>
      </c>
      <c r="H7" s="26" t="s">
        <v>63</v>
      </c>
      <c r="I7" s="30">
        <f>P11</f>
        <v>4.08</v>
      </c>
      <c r="J7" s="31">
        <f>(G7*I7)+(E7*P12)</f>
        <v>9.91</v>
      </c>
      <c r="K7" s="32" t="s">
        <v>32</v>
      </c>
      <c r="L7" s="23"/>
      <c r="P7" s="24"/>
    </row>
    <row r="8" spans="2:16">
      <c r="B8" s="25" t="s">
        <v>6</v>
      </c>
      <c r="C8" s="26" t="s">
        <v>97</v>
      </c>
      <c r="D8" s="27"/>
      <c r="E8" s="28">
        <v>0.06</v>
      </c>
      <c r="F8" s="28">
        <v>0.06</v>
      </c>
      <c r="G8" s="29">
        <v>1</v>
      </c>
      <c r="H8" s="26" t="s">
        <v>63</v>
      </c>
      <c r="I8" s="30">
        <f>P11</f>
        <v>4.08</v>
      </c>
      <c r="J8" s="31">
        <f>(I8*G8)+(E8*P12)</f>
        <v>4.38</v>
      </c>
      <c r="K8" s="32" t="s">
        <v>34</v>
      </c>
      <c r="L8" s="23"/>
      <c r="P8" s="24"/>
    </row>
    <row r="9" spans="2:16">
      <c r="B9" s="25" t="s">
        <v>7</v>
      </c>
      <c r="C9" s="26" t="s">
        <v>97</v>
      </c>
      <c r="D9" s="27">
        <v>1</v>
      </c>
      <c r="E9" s="28">
        <v>0.06</v>
      </c>
      <c r="F9" s="28">
        <v>0.06</v>
      </c>
      <c r="G9" s="29">
        <v>1</v>
      </c>
      <c r="H9" s="26" t="s">
        <v>63</v>
      </c>
      <c r="I9" s="30">
        <f>P11</f>
        <v>4.08</v>
      </c>
      <c r="J9" s="31">
        <f>(I9*G9)+(P12*E9)</f>
        <v>4.38</v>
      </c>
      <c r="K9" s="32" t="s">
        <v>33</v>
      </c>
      <c r="L9" s="23"/>
      <c r="P9" s="24"/>
    </row>
    <row r="10" spans="2:16">
      <c r="B10" s="25" t="s">
        <v>110</v>
      </c>
      <c r="C10" s="26" t="s">
        <v>112</v>
      </c>
      <c r="D10" s="27">
        <v>1</v>
      </c>
      <c r="E10" s="28">
        <v>0.4</v>
      </c>
      <c r="F10" s="28">
        <v>0.4</v>
      </c>
      <c r="G10" s="29">
        <v>1</v>
      </c>
      <c r="H10" s="26" t="s">
        <v>63</v>
      </c>
      <c r="I10" s="30">
        <f>P11</f>
        <v>4.08</v>
      </c>
      <c r="J10" s="31">
        <f>(I10*G10)+(P11*E10)</f>
        <v>5.7119999999999997</v>
      </c>
      <c r="K10" s="32" t="s">
        <v>114</v>
      </c>
      <c r="L10" s="23"/>
      <c r="P10" s="126" t="s">
        <v>161</v>
      </c>
    </row>
    <row r="11" spans="2:16" ht="13.8" thickBot="1">
      <c r="B11" s="33" t="s">
        <v>111</v>
      </c>
      <c r="C11" s="34" t="s">
        <v>113</v>
      </c>
      <c r="D11" s="35"/>
      <c r="E11" s="36">
        <v>8</v>
      </c>
      <c r="F11" s="36"/>
      <c r="G11" s="37"/>
      <c r="H11" s="34" t="s">
        <v>39</v>
      </c>
      <c r="I11" s="38">
        <f>P13/8</f>
        <v>0.5</v>
      </c>
      <c r="J11" s="31">
        <f>I11*E11</f>
        <v>4</v>
      </c>
      <c r="K11" s="39" t="s">
        <v>36</v>
      </c>
      <c r="L11" s="23"/>
      <c r="N11" s="15" t="s">
        <v>77</v>
      </c>
      <c r="P11" s="24">
        <v>4.08</v>
      </c>
    </row>
    <row r="12" spans="2:16" ht="13.8" thickBot="1">
      <c r="B12" s="40" t="s">
        <v>9</v>
      </c>
      <c r="C12" s="41"/>
      <c r="D12" s="42"/>
      <c r="E12" s="43">
        <f>SUM(E7:E11)</f>
        <v>8.8699999999999992</v>
      </c>
      <c r="F12" s="44">
        <f>SUM(F7:F11)</f>
        <v>0.87</v>
      </c>
      <c r="G12" s="45"/>
      <c r="H12" s="42"/>
      <c r="I12" s="46"/>
      <c r="J12" s="47">
        <f>SUM(J7:J11)</f>
        <v>28.381999999999998</v>
      </c>
      <c r="K12" s="48"/>
      <c r="L12" s="23"/>
      <c r="N12" t="s">
        <v>164</v>
      </c>
      <c r="P12" s="24">
        <v>5</v>
      </c>
    </row>
    <row r="13" spans="2:16">
      <c r="B13" s="2" t="s">
        <v>10</v>
      </c>
      <c r="C13" s="49"/>
      <c r="D13" s="50"/>
      <c r="E13" s="51"/>
      <c r="F13" s="51"/>
      <c r="G13" s="52"/>
      <c r="H13" s="49"/>
      <c r="I13" s="53"/>
      <c r="J13" s="53"/>
      <c r="K13" s="22"/>
      <c r="L13" s="23"/>
      <c r="N13" t="s">
        <v>165</v>
      </c>
      <c r="P13" s="24">
        <v>4</v>
      </c>
    </row>
    <row r="14" spans="2:16">
      <c r="B14" s="54" t="s">
        <v>11</v>
      </c>
      <c r="C14" s="55" t="s">
        <v>113</v>
      </c>
      <c r="D14" s="56">
        <v>1</v>
      </c>
      <c r="E14" s="57">
        <v>1</v>
      </c>
      <c r="F14" s="57"/>
      <c r="G14" s="58"/>
      <c r="H14" s="55" t="s">
        <v>63</v>
      </c>
      <c r="I14" s="59">
        <f>P12/8</f>
        <v>0.625</v>
      </c>
      <c r="J14" s="31">
        <f>(E14*I14)</f>
        <v>0.625</v>
      </c>
      <c r="K14" s="60" t="s">
        <v>115</v>
      </c>
      <c r="L14" s="23"/>
      <c r="N14" s="15" t="s">
        <v>16</v>
      </c>
      <c r="P14" s="24">
        <v>45</v>
      </c>
    </row>
    <row r="15" spans="2:16">
      <c r="B15" s="25" t="s">
        <v>11</v>
      </c>
      <c r="C15" s="26" t="s">
        <v>113</v>
      </c>
      <c r="D15" s="27"/>
      <c r="E15" s="28">
        <v>1.5</v>
      </c>
      <c r="F15" s="28"/>
      <c r="G15" s="29"/>
      <c r="H15" s="26" t="s">
        <v>39</v>
      </c>
      <c r="I15" s="30">
        <f>P12/8</f>
        <v>0.625</v>
      </c>
      <c r="J15" s="30">
        <f>I15*E15</f>
        <v>0.9375</v>
      </c>
      <c r="K15" s="32" t="s">
        <v>116</v>
      </c>
      <c r="L15" s="23"/>
      <c r="N15" s="15" t="s">
        <v>23</v>
      </c>
      <c r="P15" s="24">
        <v>150</v>
      </c>
    </row>
    <row r="16" spans="2:16">
      <c r="B16" s="54" t="s">
        <v>82</v>
      </c>
      <c r="C16" s="55" t="s">
        <v>117</v>
      </c>
      <c r="D16" s="56">
        <v>1</v>
      </c>
      <c r="E16" s="57">
        <v>12</v>
      </c>
      <c r="F16" s="57">
        <v>0.09</v>
      </c>
      <c r="G16" s="58"/>
      <c r="H16" s="55" t="s">
        <v>63</v>
      </c>
      <c r="I16" s="59">
        <f>P13/8</f>
        <v>0.5</v>
      </c>
      <c r="J16" s="31">
        <f>(I16*E16)</f>
        <v>6</v>
      </c>
      <c r="K16" s="60" t="s">
        <v>119</v>
      </c>
      <c r="L16" s="23"/>
      <c r="N16" s="15" t="s">
        <v>69</v>
      </c>
      <c r="O16" s="61"/>
      <c r="P16" s="24">
        <v>1.5</v>
      </c>
    </row>
    <row r="17" spans="2:26">
      <c r="B17" s="25" t="s">
        <v>12</v>
      </c>
      <c r="C17" s="26" t="s">
        <v>98</v>
      </c>
      <c r="D17" s="27"/>
      <c r="E17" s="28">
        <v>0.15</v>
      </c>
      <c r="F17" s="62">
        <v>0.3</v>
      </c>
      <c r="G17" s="29"/>
      <c r="H17" s="26" t="s">
        <v>39</v>
      </c>
      <c r="I17" s="30">
        <f>P12</f>
        <v>5</v>
      </c>
      <c r="J17" s="31">
        <f>(I17*E17)+(P11*F17)</f>
        <v>1.974</v>
      </c>
      <c r="K17" s="63" t="s">
        <v>120</v>
      </c>
      <c r="L17" s="23"/>
      <c r="N17" s="15" t="s">
        <v>57</v>
      </c>
      <c r="P17" s="24">
        <v>150</v>
      </c>
      <c r="Q17" s="64"/>
    </row>
    <row r="18" spans="2:26" ht="13.8" thickBot="1">
      <c r="B18" s="25" t="s">
        <v>75</v>
      </c>
      <c r="C18" s="26" t="s">
        <v>118</v>
      </c>
      <c r="D18" s="27">
        <v>2</v>
      </c>
      <c r="E18" s="28">
        <v>0.6</v>
      </c>
      <c r="F18" s="62">
        <v>2.4</v>
      </c>
      <c r="G18" s="118">
        <v>3</v>
      </c>
      <c r="H18" s="26" t="s">
        <v>63</v>
      </c>
      <c r="I18" s="119">
        <f>P11</f>
        <v>4.08</v>
      </c>
      <c r="J18" s="31">
        <f>I18*(F18*G18)+(E18*P12)</f>
        <v>32.375999999999998</v>
      </c>
      <c r="K18" s="32" t="s">
        <v>76</v>
      </c>
      <c r="N18" s="15" t="s">
        <v>59</v>
      </c>
      <c r="P18" s="15">
        <v>36.96</v>
      </c>
    </row>
    <row r="19" spans="2:26" ht="13.8" thickBot="1">
      <c r="B19" s="40" t="s">
        <v>9</v>
      </c>
      <c r="C19" s="65"/>
      <c r="D19" s="66"/>
      <c r="E19" s="44">
        <f>SUM(E14:E18)</f>
        <v>15.25</v>
      </c>
      <c r="F19" s="44">
        <f>SUM(F14:F18)</f>
        <v>2.79</v>
      </c>
      <c r="G19" s="67"/>
      <c r="H19" s="41"/>
      <c r="I19" s="68"/>
      <c r="J19" s="47">
        <f>SUM(J14:J18)</f>
        <v>41.912499999999994</v>
      </c>
      <c r="K19" s="48"/>
      <c r="L19" s="23"/>
      <c r="N19" s="15" t="s">
        <v>125</v>
      </c>
      <c r="P19" s="24">
        <v>0.55000000000000004</v>
      </c>
    </row>
    <row r="20" spans="2:26">
      <c r="B20" s="2" t="s">
        <v>13</v>
      </c>
      <c r="C20" s="20"/>
      <c r="D20" s="21"/>
      <c r="E20" s="51"/>
      <c r="F20" s="51"/>
      <c r="G20" s="52"/>
      <c r="H20" s="49"/>
      <c r="I20" s="53"/>
      <c r="J20" s="53"/>
      <c r="K20" s="22"/>
      <c r="L20" s="23"/>
      <c r="N20" s="15" t="s">
        <v>135</v>
      </c>
      <c r="P20" s="132">
        <v>2000</v>
      </c>
    </row>
    <row r="21" spans="2:26">
      <c r="B21" s="54" t="s">
        <v>123</v>
      </c>
      <c r="C21" s="55" t="s">
        <v>121</v>
      </c>
      <c r="D21" s="56">
        <v>1</v>
      </c>
      <c r="E21" s="57">
        <v>6</v>
      </c>
      <c r="F21" s="57"/>
      <c r="G21" s="58"/>
      <c r="H21" s="55" t="s">
        <v>63</v>
      </c>
      <c r="I21" s="59">
        <f>P13</f>
        <v>4</v>
      </c>
      <c r="J21" s="31">
        <f>(I21*E21)</f>
        <v>24</v>
      </c>
      <c r="K21" s="60" t="s">
        <v>119</v>
      </c>
      <c r="L21" s="23"/>
      <c r="O21" s="61"/>
      <c r="Q21" s="61"/>
    </row>
    <row r="22" spans="2:26">
      <c r="B22" s="54" t="s">
        <v>122</v>
      </c>
      <c r="C22" s="55" t="s">
        <v>121</v>
      </c>
      <c r="D22" s="69"/>
      <c r="E22" s="57">
        <v>2</v>
      </c>
      <c r="F22" s="57"/>
      <c r="G22" s="58"/>
      <c r="H22" s="55" t="s">
        <v>39</v>
      </c>
      <c r="I22" s="59">
        <f>P13</f>
        <v>4</v>
      </c>
      <c r="J22" s="30">
        <f>(I22*E22)</f>
        <v>8</v>
      </c>
      <c r="K22" s="60" t="s">
        <v>119</v>
      </c>
      <c r="L22" s="23"/>
      <c r="O22" s="61"/>
      <c r="P22" s="23"/>
      <c r="Q22" s="14"/>
      <c r="R22" s="14"/>
      <c r="S22" s="74"/>
      <c r="T22" s="74"/>
      <c r="U22" s="23"/>
      <c r="V22" s="14"/>
      <c r="W22" s="75"/>
      <c r="X22" s="75"/>
      <c r="Y22" s="23"/>
      <c r="Z22" s="23"/>
    </row>
    <row r="23" spans="2:26" ht="13.8" thickBot="1">
      <c r="B23" s="33" t="s">
        <v>16</v>
      </c>
      <c r="C23" s="34" t="s">
        <v>121</v>
      </c>
      <c r="D23" s="70"/>
      <c r="E23" s="71">
        <v>0.05</v>
      </c>
      <c r="F23" s="71">
        <v>0.05</v>
      </c>
      <c r="G23" s="37"/>
      <c r="H23" s="34" t="s">
        <v>40</v>
      </c>
      <c r="I23" s="130">
        <f>P14/5000</f>
        <v>8.9999999999999993E-3</v>
      </c>
      <c r="J23" s="30">
        <f>I23*E42</f>
        <v>52.199999999999996</v>
      </c>
      <c r="K23" s="73" t="s">
        <v>42</v>
      </c>
      <c r="L23" s="23"/>
      <c r="O23" s="61"/>
      <c r="Q23" s="61"/>
    </row>
    <row r="24" spans="2:26" ht="13.8" thickBot="1">
      <c r="B24" s="12" t="s">
        <v>9</v>
      </c>
      <c r="C24" s="65"/>
      <c r="D24" s="76"/>
      <c r="E24" s="77">
        <f>SUM(E21:E23)</f>
        <v>8.0500000000000007</v>
      </c>
      <c r="F24" s="77">
        <f>SUM(F21:F23)</f>
        <v>0.05</v>
      </c>
      <c r="G24" s="65"/>
      <c r="H24" s="78"/>
      <c r="I24" s="79"/>
      <c r="J24" s="47">
        <f>SUM(J21:J23)</f>
        <v>84.199999999999989</v>
      </c>
      <c r="K24" s="80"/>
      <c r="L24" s="23"/>
      <c r="O24" s="82"/>
      <c r="Q24" s="61"/>
    </row>
    <row r="25" spans="2:26">
      <c r="B25" s="2" t="s">
        <v>17</v>
      </c>
      <c r="C25" s="81"/>
      <c r="D25" s="21"/>
      <c r="E25" s="20"/>
      <c r="F25" s="20"/>
      <c r="G25" s="20"/>
      <c r="H25" s="49"/>
      <c r="I25" s="53"/>
      <c r="J25" s="53"/>
      <c r="K25" s="22"/>
      <c r="L25" s="23"/>
    </row>
    <row r="26" spans="2:26">
      <c r="B26" s="54" t="s">
        <v>124</v>
      </c>
      <c r="C26" s="83"/>
      <c r="D26" s="69"/>
      <c r="E26" s="84"/>
      <c r="F26" s="84"/>
      <c r="G26" s="58">
        <f>P20</f>
        <v>2000</v>
      </c>
      <c r="H26" s="55" t="s">
        <v>134</v>
      </c>
      <c r="I26" s="59">
        <f>P19</f>
        <v>0.55000000000000004</v>
      </c>
      <c r="J26" s="31">
        <f>(I26*G26)</f>
        <v>1100</v>
      </c>
      <c r="K26" s="60" t="s">
        <v>68</v>
      </c>
      <c r="L26" s="23"/>
    </row>
    <row r="27" spans="2:26">
      <c r="B27" s="54" t="s">
        <v>65</v>
      </c>
      <c r="C27" s="83"/>
      <c r="D27" s="69"/>
      <c r="E27" s="84"/>
      <c r="F27" s="84"/>
      <c r="G27" s="58">
        <f>O28</f>
        <v>40</v>
      </c>
      <c r="H27" s="55" t="s">
        <v>40</v>
      </c>
      <c r="I27" s="59">
        <f>Q28</f>
        <v>1.1000000000000001</v>
      </c>
      <c r="J27" s="31">
        <f>(I27*G27)</f>
        <v>44</v>
      </c>
      <c r="K27" s="60" t="s">
        <v>126</v>
      </c>
      <c r="L27" s="23"/>
      <c r="O27" s="61" t="s">
        <v>74</v>
      </c>
      <c r="P27" s="61" t="s">
        <v>3</v>
      </c>
      <c r="Q27" s="61" t="s">
        <v>58</v>
      </c>
    </row>
    <row r="28" spans="2:26">
      <c r="B28" s="54" t="s">
        <v>66</v>
      </c>
      <c r="C28" s="83"/>
      <c r="D28" s="69"/>
      <c r="E28" s="84"/>
      <c r="F28" s="84"/>
      <c r="G28" s="58">
        <f>O29</f>
        <v>30</v>
      </c>
      <c r="H28" s="55" t="s">
        <v>40</v>
      </c>
      <c r="I28" s="59">
        <f>Q29</f>
        <v>0.68</v>
      </c>
      <c r="J28" s="31">
        <f>(I28*G28)</f>
        <v>20.400000000000002</v>
      </c>
      <c r="K28" s="60" t="s">
        <v>127</v>
      </c>
      <c r="L28" s="23"/>
      <c r="N28" s="171" t="s">
        <v>187</v>
      </c>
      <c r="O28" s="61">
        <v>40</v>
      </c>
      <c r="P28" s="24">
        <f>(Q28*O28)</f>
        <v>44</v>
      </c>
      <c r="Q28" s="64">
        <v>1.1000000000000001</v>
      </c>
    </row>
    <row r="29" spans="2:26">
      <c r="B29" s="54" t="s">
        <v>69</v>
      </c>
      <c r="C29" s="83"/>
      <c r="D29" s="56">
        <v>1</v>
      </c>
      <c r="E29" s="84"/>
      <c r="F29" s="84"/>
      <c r="G29" s="58"/>
      <c r="H29" s="55" t="s">
        <v>63</v>
      </c>
      <c r="I29" s="59">
        <f>P16</f>
        <v>1.5</v>
      </c>
      <c r="J29" s="31">
        <f>P16</f>
        <v>1.5</v>
      </c>
      <c r="K29" s="60" t="s">
        <v>70</v>
      </c>
      <c r="L29" s="23"/>
      <c r="N29" t="s">
        <v>141</v>
      </c>
      <c r="O29" s="61">
        <v>30</v>
      </c>
      <c r="P29" s="24">
        <f>(Q29*O29)</f>
        <v>20.400000000000002</v>
      </c>
      <c r="Q29" s="64">
        <v>0.68</v>
      </c>
    </row>
    <row r="30" spans="2:26">
      <c r="B30" s="25" t="s">
        <v>19</v>
      </c>
      <c r="C30" s="85"/>
      <c r="D30" s="86"/>
      <c r="E30" s="87"/>
      <c r="F30" s="87"/>
      <c r="G30" s="87">
        <v>0.8</v>
      </c>
      <c r="H30" s="26" t="s">
        <v>40</v>
      </c>
      <c r="I30" s="30">
        <f>P17</f>
        <v>150</v>
      </c>
      <c r="J30" s="31">
        <f>(I30*G30)</f>
        <v>120</v>
      </c>
      <c r="K30" s="32" t="s">
        <v>128</v>
      </c>
      <c r="L30" s="23"/>
      <c r="Q30" s="64"/>
    </row>
    <row r="31" spans="2:26" ht="13.8" thickBot="1">
      <c r="B31" s="88" t="s">
        <v>52</v>
      </c>
      <c r="C31" s="89"/>
      <c r="D31" s="90"/>
      <c r="E31" s="91"/>
      <c r="F31" s="91"/>
      <c r="G31" s="91"/>
      <c r="H31" s="92" t="s">
        <v>63</v>
      </c>
      <c r="I31" s="38">
        <f>P18</f>
        <v>36.96</v>
      </c>
      <c r="J31" s="72">
        <f>P18</f>
        <v>36.96</v>
      </c>
      <c r="K31" s="39" t="s">
        <v>78</v>
      </c>
      <c r="L31" s="23"/>
    </row>
    <row r="32" spans="2:26" ht="13.8" thickBot="1">
      <c r="B32" s="40" t="s">
        <v>9</v>
      </c>
      <c r="C32" s="93"/>
      <c r="D32" s="66"/>
      <c r="E32" s="65"/>
      <c r="F32" s="65"/>
      <c r="G32" s="65"/>
      <c r="H32" s="65"/>
      <c r="I32" s="65"/>
      <c r="J32" s="47">
        <f>SUM(J26:J31)</f>
        <v>1322.8600000000001</v>
      </c>
      <c r="K32" s="48"/>
      <c r="L32" s="23"/>
    </row>
    <row r="33" spans="2:12" ht="13.8" thickBot="1">
      <c r="B33" s="40" t="s">
        <v>20</v>
      </c>
      <c r="C33" s="94"/>
      <c r="D33" s="66"/>
      <c r="E33" s="65"/>
      <c r="F33" s="65"/>
      <c r="G33" s="65"/>
      <c r="H33" s="65"/>
      <c r="I33" s="65"/>
      <c r="J33" s="47">
        <f>(J12+J19+J24+J32)</f>
        <v>1477.3545000000001</v>
      </c>
      <c r="K33" s="48"/>
      <c r="L33" s="23"/>
    </row>
    <row r="34" spans="2:12">
      <c r="B34" s="2" t="s">
        <v>21</v>
      </c>
      <c r="C34" s="81"/>
      <c r="D34" s="21"/>
      <c r="E34" s="20"/>
      <c r="F34" s="20"/>
      <c r="G34" s="20"/>
      <c r="H34" s="20"/>
      <c r="I34" s="20"/>
      <c r="J34" s="53"/>
      <c r="K34" s="22"/>
      <c r="L34" s="23"/>
    </row>
    <row r="35" spans="2:12">
      <c r="B35" s="25" t="s">
        <v>22</v>
      </c>
      <c r="C35" s="85"/>
      <c r="D35" s="86"/>
      <c r="E35" s="87"/>
      <c r="F35" s="87"/>
      <c r="G35" s="87"/>
      <c r="H35" s="87"/>
      <c r="I35" s="87"/>
      <c r="J35" s="30">
        <f>J33*0.05</f>
        <v>73.867725000000007</v>
      </c>
      <c r="K35" s="32"/>
      <c r="L35" s="23"/>
    </row>
    <row r="36" spans="2:12">
      <c r="B36" s="25" t="s">
        <v>23</v>
      </c>
      <c r="C36" s="85"/>
      <c r="D36" s="86"/>
      <c r="E36" s="87"/>
      <c r="F36" s="87"/>
      <c r="G36" s="87"/>
      <c r="H36" s="87"/>
      <c r="I36" s="87"/>
      <c r="J36" s="30">
        <f>P15</f>
        <v>150</v>
      </c>
      <c r="K36" s="32"/>
      <c r="L36" s="23"/>
    </row>
    <row r="37" spans="2:12">
      <c r="B37" s="25" t="s">
        <v>24</v>
      </c>
      <c r="C37" s="85"/>
      <c r="D37" s="86"/>
      <c r="E37" s="87"/>
      <c r="F37" s="87"/>
      <c r="G37" s="87"/>
      <c r="H37" s="87"/>
      <c r="I37" s="87"/>
      <c r="J37" s="30">
        <f>((J33+J35+J36)*0.05)</f>
        <v>85.06111125000001</v>
      </c>
      <c r="K37" s="32"/>
      <c r="L37" s="23"/>
    </row>
    <row r="38" spans="2:12">
      <c r="B38" s="95" t="s">
        <v>25</v>
      </c>
      <c r="C38" s="83"/>
      <c r="D38" s="96"/>
      <c r="E38" s="97"/>
      <c r="F38" s="97"/>
      <c r="G38" s="97"/>
      <c r="H38" s="97"/>
      <c r="I38" s="97"/>
      <c r="J38" s="98">
        <f>((J33+J35+J36)*0.03)</f>
        <v>51.036666750000002</v>
      </c>
      <c r="K38" s="73"/>
      <c r="L38" s="23"/>
    </row>
    <row r="39" spans="2:12" ht="13.8" thickBot="1">
      <c r="B39" s="99" t="s">
        <v>9</v>
      </c>
      <c r="C39" s="93"/>
      <c r="D39" s="100"/>
      <c r="E39" s="101"/>
      <c r="F39" s="101"/>
      <c r="G39" s="101"/>
      <c r="H39" s="101"/>
      <c r="I39" s="101"/>
      <c r="J39" s="102">
        <f>SUM(J35:J38)</f>
        <v>359.96550300000001</v>
      </c>
      <c r="K39" s="103"/>
      <c r="L39" s="23"/>
    </row>
    <row r="40" spans="2:12" ht="13.8" thickBot="1">
      <c r="B40" s="1" t="s">
        <v>26</v>
      </c>
      <c r="C40" s="94"/>
      <c r="D40" s="66"/>
      <c r="E40" s="44">
        <v>1.32</v>
      </c>
      <c r="F40" s="44">
        <v>0.81</v>
      </c>
      <c r="G40" s="65"/>
      <c r="H40" s="65"/>
      <c r="I40" s="65"/>
      <c r="J40" s="47">
        <f>(J33+J39)</f>
        <v>1837.3200030000003</v>
      </c>
      <c r="K40" s="48"/>
      <c r="L40" s="23"/>
    </row>
    <row r="41" spans="2:12" ht="13.8" thickBot="1">
      <c r="B41" s="23"/>
      <c r="C41" s="23"/>
      <c r="D41" s="23"/>
      <c r="E41" s="104"/>
      <c r="F41" s="104"/>
      <c r="G41" s="23"/>
      <c r="H41" s="23"/>
      <c r="I41" s="23"/>
      <c r="J41" s="23"/>
      <c r="K41" s="23"/>
      <c r="L41" s="23"/>
    </row>
    <row r="42" spans="2:12">
      <c r="B42" s="105" t="s">
        <v>27</v>
      </c>
      <c r="C42" s="106" t="s">
        <v>61</v>
      </c>
      <c r="D42" s="50"/>
      <c r="E42" s="107">
        <v>5800</v>
      </c>
      <c r="F42" s="50"/>
      <c r="G42" s="108"/>
      <c r="H42" s="108"/>
      <c r="I42" s="108"/>
      <c r="J42" s="108"/>
      <c r="K42" s="22"/>
      <c r="L42" s="23"/>
    </row>
    <row r="43" spans="2:12">
      <c r="B43" s="25" t="s">
        <v>28</v>
      </c>
      <c r="C43" s="109" t="s">
        <v>62</v>
      </c>
      <c r="D43" s="109"/>
      <c r="E43" s="110">
        <v>0</v>
      </c>
      <c r="F43" s="111"/>
      <c r="G43" s="23"/>
      <c r="H43" s="23"/>
      <c r="I43" s="23"/>
      <c r="J43" s="23"/>
      <c r="K43" s="73"/>
      <c r="L43" s="23"/>
    </row>
    <row r="44" spans="2:12">
      <c r="B44" s="25" t="s">
        <v>29</v>
      </c>
      <c r="C44" s="109" t="s">
        <v>62</v>
      </c>
      <c r="D44" s="109"/>
      <c r="E44" s="110">
        <f>(J40-E43)</f>
        <v>1837.3200030000003</v>
      </c>
      <c r="F44" s="111"/>
      <c r="G44" s="112"/>
      <c r="H44" s="112"/>
      <c r="I44" s="112"/>
      <c r="J44" s="112"/>
      <c r="K44" s="32"/>
      <c r="L44" s="23"/>
    </row>
    <row r="45" spans="2:12">
      <c r="B45" s="25" t="s">
        <v>29</v>
      </c>
      <c r="C45" s="109" t="s">
        <v>30</v>
      </c>
      <c r="D45" s="109"/>
      <c r="E45" s="110">
        <f>(E44/E42)</f>
        <v>0.31677931086206901</v>
      </c>
      <c r="F45" s="111"/>
      <c r="G45" s="23"/>
      <c r="H45" s="23"/>
      <c r="I45" s="23"/>
      <c r="J45" s="23"/>
      <c r="K45" s="73"/>
      <c r="L45" s="23"/>
    </row>
    <row r="46" spans="2:12" ht="13.8" thickBot="1">
      <c r="B46" s="99" t="s">
        <v>71</v>
      </c>
      <c r="C46" s="113" t="s">
        <v>30</v>
      </c>
      <c r="D46" s="113"/>
      <c r="E46" s="114">
        <f>E45*1.3</f>
        <v>0.41181310412068972</v>
      </c>
      <c r="F46" s="115"/>
      <c r="G46" s="89"/>
      <c r="H46" s="89"/>
      <c r="I46" s="89"/>
      <c r="J46" s="89"/>
      <c r="K46" s="116"/>
      <c r="L46" s="23"/>
    </row>
    <row r="47" spans="2:12">
      <c r="B47" s="23"/>
      <c r="C47" s="14"/>
      <c r="D47" s="14"/>
      <c r="E47" s="117"/>
      <c r="F47" s="117"/>
      <c r="G47" s="23"/>
      <c r="H47" s="23"/>
      <c r="I47" s="23"/>
      <c r="J47" s="23"/>
      <c r="K47" s="23"/>
      <c r="L47" s="23"/>
    </row>
    <row r="48" spans="2:12">
      <c r="B48" s="23"/>
      <c r="C48" s="14"/>
      <c r="D48" s="14"/>
      <c r="E48" s="117"/>
      <c r="F48" s="117"/>
      <c r="G48" s="23"/>
      <c r="H48" s="23"/>
      <c r="I48" s="23"/>
      <c r="J48" s="23"/>
      <c r="K48" s="23"/>
      <c r="L48" s="23"/>
    </row>
    <row r="49" spans="2:12">
      <c r="B49" s="15" t="s">
        <v>72</v>
      </c>
      <c r="L49" s="23"/>
    </row>
    <row r="50" spans="2:12">
      <c r="B50" s="15" t="s">
        <v>158</v>
      </c>
    </row>
    <row r="71" spans="9:10">
      <c r="I71" s="182"/>
      <c r="J71" s="182"/>
    </row>
    <row r="72" spans="9:10">
      <c r="I72" s="173"/>
      <c r="J72" s="173"/>
    </row>
    <row r="73" spans="9:10">
      <c r="I73" s="173"/>
      <c r="J73" s="173"/>
    </row>
    <row r="74" spans="9:10">
      <c r="I74" s="173"/>
      <c r="J74" s="173"/>
    </row>
    <row r="75" spans="9:10">
      <c r="I75" s="173"/>
      <c r="J75" s="173"/>
    </row>
    <row r="76" spans="9:10">
      <c r="I76" s="173"/>
      <c r="J76" s="173"/>
    </row>
    <row r="77" spans="9:10">
      <c r="I77" s="173"/>
      <c r="J77" s="173"/>
    </row>
  </sheetData>
  <mergeCells count="10">
    <mergeCell ref="C3:D5"/>
    <mergeCell ref="E3:F3"/>
    <mergeCell ref="E4:F4"/>
    <mergeCell ref="I75:J75"/>
    <mergeCell ref="I77:J77"/>
    <mergeCell ref="I71:J71"/>
    <mergeCell ref="I72:J72"/>
    <mergeCell ref="I73:J73"/>
    <mergeCell ref="I74:J74"/>
    <mergeCell ref="I76:J76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1" orientation="landscape" r:id="rId1"/>
  <headerFooter alignWithMargins="0"/>
  <ignoredErrors>
    <ignoredError sqref="J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80"/>
  <sheetViews>
    <sheetView zoomScale="75" workbookViewId="0">
      <selection activeCell="L5" sqref="L5"/>
    </sheetView>
  </sheetViews>
  <sheetFormatPr defaultColWidth="9.109375" defaultRowHeight="13.2"/>
  <cols>
    <col min="1" max="1" width="2.6640625" style="15" customWidth="1"/>
    <col min="2" max="2" width="26.44140625" style="15" customWidth="1"/>
    <col min="3" max="3" width="13.88671875" style="15" customWidth="1"/>
    <col min="4" max="4" width="4.88671875" style="15" customWidth="1"/>
    <col min="5" max="5" width="9.88671875" style="15" bestFit="1" customWidth="1"/>
    <col min="6" max="6" width="10.6640625" style="15" customWidth="1"/>
    <col min="7" max="8" width="9.109375" style="15"/>
    <col min="9" max="9" width="11.33203125" style="15" customWidth="1"/>
    <col min="10" max="10" width="13.44140625" style="15" customWidth="1"/>
    <col min="11" max="11" width="19" style="15" customWidth="1"/>
    <col min="12" max="12" width="8.109375" style="15" customWidth="1"/>
    <col min="13" max="13" width="5.109375" style="15" customWidth="1"/>
    <col min="14" max="14" width="21" style="15" customWidth="1"/>
    <col min="15" max="15" width="7" style="15" customWidth="1"/>
    <col min="16" max="16" width="11.44140625" style="15" customWidth="1"/>
    <col min="17" max="17" width="12.33203125" style="15" customWidth="1"/>
    <col min="18" max="16384" width="9.109375" style="15"/>
  </cols>
  <sheetData>
    <row r="1" spans="2:16" s="9" customFormat="1">
      <c r="B1" t="s">
        <v>204</v>
      </c>
      <c r="I1"/>
    </row>
    <row r="2" spans="2:16" s="9" customFormat="1" ht="13.8" thickBot="1"/>
    <row r="3" spans="2:16">
      <c r="B3" s="10"/>
      <c r="C3" s="176" t="s">
        <v>50</v>
      </c>
      <c r="D3" s="177"/>
      <c r="E3" s="175" t="s">
        <v>47</v>
      </c>
      <c r="F3" s="175"/>
      <c r="G3" s="11"/>
      <c r="H3" s="12"/>
      <c r="I3" s="11"/>
      <c r="J3" s="11"/>
      <c r="K3" s="13"/>
      <c r="L3" s="14"/>
    </row>
    <row r="4" spans="2:16" ht="13.8" thickBot="1">
      <c r="B4" s="3" t="s">
        <v>45</v>
      </c>
      <c r="C4" s="178"/>
      <c r="D4" s="179"/>
      <c r="E4" s="174" t="s">
        <v>64</v>
      </c>
      <c r="F4" s="174"/>
      <c r="G4" s="4" t="s">
        <v>0</v>
      </c>
      <c r="H4" s="3" t="s">
        <v>1</v>
      </c>
      <c r="I4" s="4" t="s">
        <v>2</v>
      </c>
      <c r="J4" s="4" t="s">
        <v>3</v>
      </c>
      <c r="K4" s="8" t="s">
        <v>4</v>
      </c>
      <c r="L4" s="16"/>
    </row>
    <row r="5" spans="2:16" ht="13.8" thickBot="1">
      <c r="B5" s="17"/>
      <c r="C5" s="180"/>
      <c r="D5" s="181"/>
      <c r="E5" s="6" t="s">
        <v>48</v>
      </c>
      <c r="F5" s="7" t="s">
        <v>49</v>
      </c>
      <c r="G5" s="18"/>
      <c r="H5" s="17"/>
      <c r="I5" s="5" t="s">
        <v>163</v>
      </c>
      <c r="J5" s="5" t="s">
        <v>163</v>
      </c>
      <c r="K5" s="19"/>
      <c r="L5" s="14"/>
    </row>
    <row r="6" spans="2:16">
      <c r="B6" s="2" t="s">
        <v>5</v>
      </c>
      <c r="C6" s="20"/>
      <c r="D6" s="21"/>
      <c r="E6" s="20"/>
      <c r="F6" s="20"/>
      <c r="G6" s="20"/>
      <c r="H6" s="20"/>
      <c r="I6" s="20"/>
      <c r="J6" s="21"/>
      <c r="K6" s="22"/>
      <c r="L6" s="23"/>
      <c r="P6" s="24"/>
    </row>
    <row r="7" spans="2:16">
      <c r="B7" s="25" t="s">
        <v>51</v>
      </c>
      <c r="C7" s="26" t="s">
        <v>143</v>
      </c>
      <c r="D7" s="27">
        <v>1</v>
      </c>
      <c r="E7" s="28">
        <v>0.75</v>
      </c>
      <c r="F7" s="28">
        <v>0.75</v>
      </c>
      <c r="G7" s="29">
        <v>2</v>
      </c>
      <c r="H7" s="26" t="s">
        <v>63</v>
      </c>
      <c r="I7" s="30">
        <f>P12</f>
        <v>4.08</v>
      </c>
      <c r="J7" s="31">
        <f>(G7*I7)+(E7*P13)</f>
        <v>11.91</v>
      </c>
      <c r="K7" s="32" t="s">
        <v>32</v>
      </c>
      <c r="L7" s="23"/>
      <c r="P7" s="24"/>
    </row>
    <row r="8" spans="2:16">
      <c r="B8" s="25" t="s">
        <v>87</v>
      </c>
      <c r="C8" s="26" t="s">
        <v>143</v>
      </c>
      <c r="D8" s="27">
        <v>1</v>
      </c>
      <c r="E8" s="28">
        <v>0.6</v>
      </c>
      <c r="F8" s="28">
        <v>0.6</v>
      </c>
      <c r="G8" s="29">
        <v>1</v>
      </c>
      <c r="H8" s="26" t="s">
        <v>63</v>
      </c>
      <c r="I8" s="30">
        <f>P13</f>
        <v>5</v>
      </c>
      <c r="J8" s="31">
        <f>I8*(G8*F8)+(E8*P14)</f>
        <v>5.4</v>
      </c>
      <c r="K8" s="32" t="s">
        <v>32</v>
      </c>
      <c r="L8" s="23"/>
      <c r="P8" s="24"/>
    </row>
    <row r="9" spans="2:16">
      <c r="B9" s="25" t="s">
        <v>6</v>
      </c>
      <c r="C9" s="26" t="s">
        <v>73</v>
      </c>
      <c r="D9" s="27"/>
      <c r="E9" s="28">
        <v>0.36</v>
      </c>
      <c r="F9" s="28">
        <v>0.36</v>
      </c>
      <c r="G9" s="29">
        <v>1</v>
      </c>
      <c r="H9" s="26" t="s">
        <v>63</v>
      </c>
      <c r="I9" s="30">
        <f>P13</f>
        <v>5</v>
      </c>
      <c r="J9" s="31">
        <f>(I9*G9)+(P14*E9)</f>
        <v>6.4399999999999995</v>
      </c>
      <c r="K9" s="32" t="s">
        <v>34</v>
      </c>
      <c r="L9" s="23"/>
      <c r="P9" s="24"/>
    </row>
    <row r="10" spans="2:16">
      <c r="B10" s="25" t="s">
        <v>7</v>
      </c>
      <c r="C10" s="26" t="s">
        <v>73</v>
      </c>
      <c r="D10" s="27">
        <v>1</v>
      </c>
      <c r="E10" s="28">
        <v>0.26</v>
      </c>
      <c r="F10" s="28">
        <v>0.26</v>
      </c>
      <c r="G10" s="29">
        <v>1</v>
      </c>
      <c r="H10" s="26" t="s">
        <v>63</v>
      </c>
      <c r="I10" s="30">
        <f>P12</f>
        <v>4.08</v>
      </c>
      <c r="J10" s="31">
        <f>(I10*G10)+(P13*E10)</f>
        <v>5.38</v>
      </c>
      <c r="K10" s="32" t="s">
        <v>33</v>
      </c>
      <c r="L10" s="23"/>
      <c r="P10" s="24"/>
    </row>
    <row r="11" spans="2:16">
      <c r="B11" s="25" t="s">
        <v>8</v>
      </c>
      <c r="C11" s="26" t="s">
        <v>53</v>
      </c>
      <c r="D11" s="27">
        <v>1</v>
      </c>
      <c r="E11" s="28">
        <v>0.2</v>
      </c>
      <c r="F11" s="28">
        <v>0.2</v>
      </c>
      <c r="G11" s="29">
        <v>1</v>
      </c>
      <c r="H11" s="26" t="s">
        <v>63</v>
      </c>
      <c r="I11" s="30">
        <f>P12</f>
        <v>4.08</v>
      </c>
      <c r="J11" s="31">
        <f>(I11*G11)+(P12*E11)</f>
        <v>4.8959999999999999</v>
      </c>
      <c r="K11" s="32" t="s">
        <v>133</v>
      </c>
      <c r="L11" s="23"/>
      <c r="P11" s="15" t="s">
        <v>161</v>
      </c>
    </row>
    <row r="12" spans="2:16" ht="13.8" thickBot="1">
      <c r="B12" s="33" t="s">
        <v>8</v>
      </c>
      <c r="C12" s="34" t="s">
        <v>53</v>
      </c>
      <c r="D12" s="35"/>
      <c r="E12" s="36">
        <v>0.2</v>
      </c>
      <c r="F12" s="36">
        <v>0.2</v>
      </c>
      <c r="G12" s="37"/>
      <c r="H12" s="34" t="s">
        <v>39</v>
      </c>
      <c r="I12" s="38">
        <f>P13</f>
        <v>5</v>
      </c>
      <c r="J12" s="31">
        <f>P13*E12</f>
        <v>1</v>
      </c>
      <c r="K12" s="39" t="s">
        <v>132</v>
      </c>
      <c r="L12" s="23"/>
      <c r="N12" s="15" t="s">
        <v>77</v>
      </c>
      <c r="P12" s="24">
        <v>4.08</v>
      </c>
    </row>
    <row r="13" spans="2:16" ht="13.8" thickBot="1">
      <c r="B13" s="40" t="s">
        <v>9</v>
      </c>
      <c r="C13" s="41"/>
      <c r="D13" s="42"/>
      <c r="E13" s="43">
        <f>SUM(E7:E12)</f>
        <v>2.37</v>
      </c>
      <c r="F13" s="44">
        <f>SUM(F7:F12)</f>
        <v>2.37</v>
      </c>
      <c r="G13" s="122"/>
      <c r="H13" s="42"/>
      <c r="I13" s="46"/>
      <c r="J13" s="47">
        <f>SUM(J7:J12)</f>
        <v>35.025999999999996</v>
      </c>
      <c r="K13" s="48"/>
      <c r="L13" s="23"/>
      <c r="N13" t="s">
        <v>164</v>
      </c>
      <c r="P13" s="24">
        <v>5</v>
      </c>
    </row>
    <row r="14" spans="2:16">
      <c r="B14" s="2" t="s">
        <v>10</v>
      </c>
      <c r="C14" s="49"/>
      <c r="D14" s="50"/>
      <c r="E14" s="51"/>
      <c r="F14" s="51"/>
      <c r="G14" s="123"/>
      <c r="H14" s="49"/>
      <c r="I14" s="53"/>
      <c r="J14" s="53"/>
      <c r="K14" s="22"/>
      <c r="L14" s="23"/>
      <c r="N14" t="s">
        <v>165</v>
      </c>
      <c r="P14" s="24">
        <v>4</v>
      </c>
    </row>
    <row r="15" spans="2:16">
      <c r="B15" s="54" t="s">
        <v>11</v>
      </c>
      <c r="C15" s="55" t="s">
        <v>53</v>
      </c>
      <c r="D15" s="56">
        <v>1</v>
      </c>
      <c r="E15" s="57">
        <v>0.12</v>
      </c>
      <c r="F15" s="57">
        <v>0.12</v>
      </c>
      <c r="G15" s="124">
        <v>0.5</v>
      </c>
      <c r="H15" s="55" t="s">
        <v>63</v>
      </c>
      <c r="I15" s="59">
        <f>P12</f>
        <v>4.08</v>
      </c>
      <c r="J15" s="31">
        <f>(P13*E15)+(G15*I15)</f>
        <v>2.64</v>
      </c>
      <c r="K15" s="60" t="s">
        <v>37</v>
      </c>
      <c r="L15" s="23"/>
      <c r="N15" s="15" t="s">
        <v>16</v>
      </c>
      <c r="P15" s="24">
        <v>45</v>
      </c>
    </row>
    <row r="16" spans="2:16">
      <c r="B16" s="25" t="s">
        <v>11</v>
      </c>
      <c r="C16" s="26" t="s">
        <v>53</v>
      </c>
      <c r="D16" s="27"/>
      <c r="E16" s="28">
        <v>0.12</v>
      </c>
      <c r="F16" s="28"/>
      <c r="G16" s="120"/>
      <c r="H16" s="26" t="s">
        <v>39</v>
      </c>
      <c r="I16" s="30">
        <f>P13</f>
        <v>5</v>
      </c>
      <c r="J16" s="30">
        <f>I16*E16</f>
        <v>0.6</v>
      </c>
      <c r="K16" s="32" t="s">
        <v>36</v>
      </c>
      <c r="L16" s="23"/>
      <c r="N16" s="15" t="s">
        <v>23</v>
      </c>
      <c r="P16" s="24">
        <v>150</v>
      </c>
    </row>
    <row r="17" spans="2:26">
      <c r="B17" s="54" t="s">
        <v>12</v>
      </c>
      <c r="C17" s="55" t="s">
        <v>85</v>
      </c>
      <c r="D17" s="56">
        <v>1</v>
      </c>
      <c r="E17" s="57">
        <v>0.15</v>
      </c>
      <c r="F17" s="57">
        <v>0.15</v>
      </c>
      <c r="G17" s="124">
        <v>0.5</v>
      </c>
      <c r="H17" s="55" t="s">
        <v>63</v>
      </c>
      <c r="I17" s="59">
        <f>P12</f>
        <v>4.08</v>
      </c>
      <c r="J17" s="31">
        <f>(G17*I17)</f>
        <v>2.04</v>
      </c>
      <c r="K17" s="60" t="s">
        <v>38</v>
      </c>
      <c r="L17" s="23"/>
      <c r="N17" s="15" t="s">
        <v>69</v>
      </c>
      <c r="O17" s="61"/>
      <c r="P17" s="24">
        <v>1.5</v>
      </c>
    </row>
    <row r="18" spans="2:26">
      <c r="B18" s="25" t="s">
        <v>12</v>
      </c>
      <c r="C18" s="26" t="s">
        <v>85</v>
      </c>
      <c r="D18" s="27"/>
      <c r="E18" s="28">
        <v>0.15</v>
      </c>
      <c r="F18" s="62"/>
      <c r="G18" s="120"/>
      <c r="H18" s="26" t="s">
        <v>39</v>
      </c>
      <c r="I18" s="30">
        <f>P13</f>
        <v>5</v>
      </c>
      <c r="J18" s="31">
        <f>(I18*E18)</f>
        <v>0.75</v>
      </c>
      <c r="K18" s="63" t="s">
        <v>36</v>
      </c>
      <c r="L18" s="23"/>
      <c r="N18" s="15" t="s">
        <v>57</v>
      </c>
      <c r="P18" s="24">
        <v>25</v>
      </c>
      <c r="Q18" s="64"/>
    </row>
    <row r="19" spans="2:26">
      <c r="B19" s="25" t="s">
        <v>75</v>
      </c>
      <c r="C19" s="26" t="s">
        <v>84</v>
      </c>
      <c r="D19" s="27">
        <v>4</v>
      </c>
      <c r="E19" s="28">
        <v>2</v>
      </c>
      <c r="F19" s="62">
        <v>1</v>
      </c>
      <c r="G19" s="125">
        <v>3</v>
      </c>
      <c r="H19" s="26" t="s">
        <v>63</v>
      </c>
      <c r="I19" s="119">
        <f>P12</f>
        <v>4.08</v>
      </c>
      <c r="J19" s="31">
        <f>(I19*(F19*G19)+(E19*P13))*D19</f>
        <v>88.960000000000008</v>
      </c>
      <c r="K19" s="32" t="s">
        <v>76</v>
      </c>
      <c r="N19" s="15" t="s">
        <v>59</v>
      </c>
      <c r="P19" s="126">
        <v>26.88</v>
      </c>
    </row>
    <row r="20" spans="2:26">
      <c r="B20" s="25" t="s">
        <v>144</v>
      </c>
      <c r="C20" s="26" t="s">
        <v>83</v>
      </c>
      <c r="D20" s="27">
        <v>3</v>
      </c>
      <c r="E20" s="28">
        <v>12</v>
      </c>
      <c r="F20" s="62"/>
      <c r="G20" s="125"/>
      <c r="H20" s="26" t="s">
        <v>39</v>
      </c>
      <c r="I20" s="30">
        <f>P20</f>
        <v>4</v>
      </c>
      <c r="J20" s="31">
        <f>D20*(I20*E20)</f>
        <v>144</v>
      </c>
      <c r="K20" s="32" t="s">
        <v>89</v>
      </c>
      <c r="N20" t="s">
        <v>165</v>
      </c>
      <c r="P20" s="126">
        <v>4</v>
      </c>
    </row>
    <row r="21" spans="2:26" ht="13.8" thickBot="1">
      <c r="B21" s="33" t="s">
        <v>9</v>
      </c>
      <c r="C21" s="127"/>
      <c r="D21" s="70"/>
      <c r="E21" s="36">
        <f>SUM(E15:E20)</f>
        <v>14.54</v>
      </c>
      <c r="F21" s="36">
        <f>SUM(F15:F19)</f>
        <v>1.27</v>
      </c>
      <c r="G21" s="128"/>
      <c r="H21" s="34"/>
      <c r="I21" s="129"/>
      <c r="J21" s="72">
        <f>SUM(J15:J20)</f>
        <v>238.99</v>
      </c>
      <c r="K21" s="39"/>
      <c r="L21" s="23"/>
      <c r="N21" s="15" t="s">
        <v>79</v>
      </c>
      <c r="P21" s="24">
        <v>120</v>
      </c>
    </row>
    <row r="22" spans="2:26">
      <c r="B22" s="2" t="s">
        <v>13</v>
      </c>
      <c r="C22" s="20"/>
      <c r="D22" s="21"/>
      <c r="E22" s="51"/>
      <c r="F22" s="51"/>
      <c r="G22" s="123"/>
      <c r="H22" s="49"/>
      <c r="I22" s="53"/>
      <c r="J22" s="53"/>
      <c r="K22" s="22"/>
      <c r="L22" s="23"/>
      <c r="N22" s="15" t="s">
        <v>80</v>
      </c>
      <c r="P22" s="24">
        <v>0.8</v>
      </c>
    </row>
    <row r="23" spans="2:26">
      <c r="B23" s="54" t="s">
        <v>146</v>
      </c>
      <c r="C23" s="55" t="s">
        <v>145</v>
      </c>
      <c r="D23" s="56">
        <v>1</v>
      </c>
      <c r="E23" s="57">
        <v>75</v>
      </c>
      <c r="F23" s="57"/>
      <c r="G23" s="124"/>
      <c r="H23" s="55" t="s">
        <v>39</v>
      </c>
      <c r="I23" s="59">
        <f>P20</f>
        <v>4</v>
      </c>
      <c r="J23" s="31">
        <f>I23*E23</f>
        <v>300</v>
      </c>
      <c r="K23" s="60" t="s">
        <v>89</v>
      </c>
      <c r="L23" s="23"/>
      <c r="N23" s="15" t="s">
        <v>148</v>
      </c>
      <c r="O23" s="61"/>
      <c r="P23" s="132">
        <v>100</v>
      </c>
      <c r="Q23" s="61"/>
    </row>
    <row r="24" spans="2:26">
      <c r="B24" s="54" t="s">
        <v>92</v>
      </c>
      <c r="C24" s="55" t="s">
        <v>145</v>
      </c>
      <c r="D24" s="69"/>
      <c r="E24" s="57">
        <v>1.25</v>
      </c>
      <c r="F24" s="57"/>
      <c r="G24" s="124"/>
      <c r="H24" s="55" t="s">
        <v>39</v>
      </c>
      <c r="I24" s="59">
        <f>P13</f>
        <v>5</v>
      </c>
      <c r="J24" s="30">
        <f>(I24*E24)</f>
        <v>6.25</v>
      </c>
      <c r="K24" s="60" t="s">
        <v>93</v>
      </c>
      <c r="L24" s="23"/>
      <c r="N24" s="15" t="s">
        <v>149</v>
      </c>
      <c r="O24" s="61"/>
      <c r="P24" s="75">
        <v>0.35</v>
      </c>
      <c r="Q24" s="14"/>
      <c r="R24" s="14"/>
      <c r="S24" s="74"/>
      <c r="T24" s="74"/>
      <c r="U24" s="23"/>
      <c r="V24" s="14"/>
      <c r="W24" s="75"/>
      <c r="X24" s="75"/>
      <c r="Y24" s="23"/>
      <c r="Z24" s="23"/>
    </row>
    <row r="25" spans="2:26">
      <c r="B25" s="138" t="s">
        <v>16</v>
      </c>
      <c r="C25" s="26" t="s">
        <v>145</v>
      </c>
      <c r="D25" s="86"/>
      <c r="E25" s="28">
        <v>0.1</v>
      </c>
      <c r="F25" s="28">
        <v>0.1</v>
      </c>
      <c r="G25" s="120"/>
      <c r="H25" s="26" t="s">
        <v>63</v>
      </c>
      <c r="I25" s="137">
        <f>P15/4000</f>
        <v>1.125E-2</v>
      </c>
      <c r="J25" s="30">
        <f>I25*E45</f>
        <v>45</v>
      </c>
      <c r="K25" s="63" t="s">
        <v>42</v>
      </c>
      <c r="L25" s="23"/>
      <c r="O25" s="61"/>
      <c r="Q25" s="61"/>
    </row>
    <row r="26" spans="2:26" ht="13.8" thickBot="1">
      <c r="B26" s="95" t="s">
        <v>147</v>
      </c>
      <c r="C26" s="34"/>
      <c r="D26" s="96"/>
      <c r="E26" s="71"/>
      <c r="F26" s="71"/>
      <c r="G26" s="139">
        <f>P23</f>
        <v>100</v>
      </c>
      <c r="H26" s="14" t="s">
        <v>150</v>
      </c>
      <c r="I26" s="72">
        <f>P24</f>
        <v>0.35</v>
      </c>
      <c r="J26" s="98">
        <f>I26*G26</f>
        <v>35</v>
      </c>
      <c r="K26" s="73" t="s">
        <v>152</v>
      </c>
      <c r="L26" s="23"/>
      <c r="O26" s="61"/>
      <c r="Q26" s="61"/>
    </row>
    <row r="27" spans="2:26" ht="13.8" thickBot="1">
      <c r="B27" s="12" t="s">
        <v>9</v>
      </c>
      <c r="C27" s="65"/>
      <c r="D27" s="76"/>
      <c r="E27" s="77">
        <f>SUM(E23:E25)</f>
        <v>76.349999999999994</v>
      </c>
      <c r="F27" s="77">
        <f>SUM(F23:F25)</f>
        <v>0.1</v>
      </c>
      <c r="G27" s="122"/>
      <c r="H27" s="78"/>
      <c r="I27" s="79"/>
      <c r="J27" s="47">
        <f>SUM(J23:J25)</f>
        <v>351.25</v>
      </c>
      <c r="K27" s="80"/>
      <c r="L27" s="23"/>
      <c r="O27" s="82"/>
      <c r="Q27" s="61"/>
    </row>
    <row r="28" spans="2:26">
      <c r="B28" s="2" t="s">
        <v>17</v>
      </c>
      <c r="C28" s="81"/>
      <c r="D28" s="21"/>
      <c r="E28" s="20"/>
      <c r="F28" s="20"/>
      <c r="G28" s="123"/>
      <c r="H28" s="49"/>
      <c r="I28" s="53"/>
      <c r="J28" s="53"/>
      <c r="K28" s="22"/>
      <c r="L28" s="23"/>
    </row>
    <row r="29" spans="2:26">
      <c r="B29" s="54" t="s">
        <v>18</v>
      </c>
      <c r="C29" s="83"/>
      <c r="D29" s="69"/>
      <c r="E29" s="84"/>
      <c r="F29" s="84"/>
      <c r="G29" s="124">
        <f>P22</f>
        <v>0.8</v>
      </c>
      <c r="H29" s="55" t="s">
        <v>40</v>
      </c>
      <c r="I29" s="59">
        <f>P21</f>
        <v>120</v>
      </c>
      <c r="J29" s="31">
        <f>(I29*G29)</f>
        <v>96</v>
      </c>
      <c r="K29" s="60" t="s">
        <v>68</v>
      </c>
      <c r="L29" s="23"/>
    </row>
    <row r="30" spans="2:26">
      <c r="B30" s="54" t="s">
        <v>65</v>
      </c>
      <c r="C30" s="83"/>
      <c r="D30" s="69"/>
      <c r="E30" s="84"/>
      <c r="F30" s="84"/>
      <c r="G30" s="124">
        <f>O31</f>
        <v>40</v>
      </c>
      <c r="H30" s="55" t="s">
        <v>40</v>
      </c>
      <c r="I30" s="59">
        <f>Q31</f>
        <v>1.1000000000000001</v>
      </c>
      <c r="J30" s="31">
        <f>(I30*G30)</f>
        <v>44</v>
      </c>
      <c r="K30" s="172" t="s">
        <v>188</v>
      </c>
      <c r="L30" s="23"/>
      <c r="O30" s="61" t="s">
        <v>74</v>
      </c>
      <c r="P30" s="61" t="s">
        <v>3</v>
      </c>
      <c r="Q30" s="61" t="s">
        <v>58</v>
      </c>
    </row>
    <row r="31" spans="2:26">
      <c r="B31" s="54" t="s">
        <v>66</v>
      </c>
      <c r="C31" s="83"/>
      <c r="D31" s="69"/>
      <c r="E31" s="84"/>
      <c r="F31" s="84"/>
      <c r="G31" s="124">
        <f>O32</f>
        <v>30</v>
      </c>
      <c r="H31" s="55" t="s">
        <v>40</v>
      </c>
      <c r="I31" s="59">
        <f>Q32</f>
        <v>0.95</v>
      </c>
      <c r="J31" s="31">
        <f>(I31*G31)</f>
        <v>28.5</v>
      </c>
      <c r="K31" s="60" t="s">
        <v>156</v>
      </c>
      <c r="L31" s="23"/>
      <c r="N31" s="23" t="s">
        <v>151</v>
      </c>
      <c r="O31" s="61">
        <v>40</v>
      </c>
      <c r="P31" s="24">
        <f>(Q31*O31)</f>
        <v>44</v>
      </c>
      <c r="Q31" s="64">
        <v>1.1000000000000001</v>
      </c>
    </row>
    <row r="32" spans="2:26">
      <c r="B32" s="54" t="s">
        <v>69</v>
      </c>
      <c r="C32" s="83"/>
      <c r="D32" s="56">
        <v>1</v>
      </c>
      <c r="E32" s="84"/>
      <c r="F32" s="84"/>
      <c r="G32" s="124"/>
      <c r="H32" s="55" t="s">
        <v>63</v>
      </c>
      <c r="I32" s="59">
        <f>P17</f>
        <v>1.5</v>
      </c>
      <c r="J32" s="31">
        <f>P17</f>
        <v>1.5</v>
      </c>
      <c r="K32" s="60" t="s">
        <v>70</v>
      </c>
      <c r="L32" s="23"/>
      <c r="N32" s="15" t="s">
        <v>156</v>
      </c>
      <c r="O32" s="61">
        <v>30</v>
      </c>
      <c r="P32" s="24">
        <f>(Q32*O32)</f>
        <v>28.5</v>
      </c>
      <c r="Q32" s="64">
        <v>0.95</v>
      </c>
    </row>
    <row r="33" spans="2:17">
      <c r="B33" s="25" t="s">
        <v>19</v>
      </c>
      <c r="C33" s="85"/>
      <c r="D33" s="27">
        <v>2</v>
      </c>
      <c r="E33" s="87"/>
      <c r="F33" s="87"/>
      <c r="G33" s="120">
        <v>0.35</v>
      </c>
      <c r="H33" s="26" t="s">
        <v>40</v>
      </c>
      <c r="I33" s="30">
        <f>P18</f>
        <v>25</v>
      </c>
      <c r="J33" s="31">
        <f>D33*(I33*G33)</f>
        <v>17.5</v>
      </c>
      <c r="K33" s="32" t="s">
        <v>44</v>
      </c>
      <c r="L33" s="23"/>
      <c r="Q33" s="64"/>
    </row>
    <row r="34" spans="2:17" ht="13.8" thickBot="1">
      <c r="B34" s="88" t="s">
        <v>52</v>
      </c>
      <c r="C34" s="89"/>
      <c r="D34" s="140">
        <v>1</v>
      </c>
      <c r="E34" s="91"/>
      <c r="F34" s="91"/>
      <c r="G34" s="131"/>
      <c r="H34" s="92" t="s">
        <v>63</v>
      </c>
      <c r="I34" s="38">
        <f>P19</f>
        <v>26.88</v>
      </c>
      <c r="J34" s="72">
        <f>P19</f>
        <v>26.88</v>
      </c>
      <c r="K34" s="39" t="s">
        <v>78</v>
      </c>
      <c r="L34" s="23"/>
    </row>
    <row r="35" spans="2:17" ht="13.8" thickBot="1">
      <c r="B35" s="40" t="s">
        <v>9</v>
      </c>
      <c r="C35" s="93"/>
      <c r="D35" s="66"/>
      <c r="E35" s="65"/>
      <c r="F35" s="65"/>
      <c r="G35" s="65"/>
      <c r="H35" s="65"/>
      <c r="I35" s="65"/>
      <c r="J35" s="47">
        <f>SUM(J29:J34)</f>
        <v>214.38</v>
      </c>
      <c r="K35" s="48"/>
      <c r="L35" s="23"/>
    </row>
    <row r="36" spans="2:17" ht="13.8" thickBot="1">
      <c r="B36" s="40" t="s">
        <v>20</v>
      </c>
      <c r="C36" s="94"/>
      <c r="D36" s="66"/>
      <c r="E36" s="65"/>
      <c r="F36" s="65"/>
      <c r="G36" s="65"/>
      <c r="H36" s="65"/>
      <c r="I36" s="65"/>
      <c r="J36" s="47">
        <f>(J13+J21+J27+J35)</f>
        <v>839.64600000000007</v>
      </c>
      <c r="K36" s="48"/>
      <c r="L36" s="23"/>
    </row>
    <row r="37" spans="2:17">
      <c r="B37" s="2" t="s">
        <v>21</v>
      </c>
      <c r="C37" s="81"/>
      <c r="D37" s="21"/>
      <c r="E37" s="20"/>
      <c r="F37" s="20"/>
      <c r="G37" s="20"/>
      <c r="H37" s="20"/>
      <c r="I37" s="20"/>
      <c r="J37" s="53"/>
      <c r="K37" s="22"/>
      <c r="L37" s="23"/>
    </row>
    <row r="38" spans="2:17">
      <c r="B38" s="25" t="s">
        <v>22</v>
      </c>
      <c r="C38" s="85"/>
      <c r="D38" s="86"/>
      <c r="E38" s="87"/>
      <c r="F38" s="87"/>
      <c r="G38" s="87"/>
      <c r="H38" s="87"/>
      <c r="I38" s="87"/>
      <c r="J38" s="30">
        <f>J36*0.05</f>
        <v>41.982300000000009</v>
      </c>
      <c r="K38" s="32"/>
      <c r="L38" s="23"/>
    </row>
    <row r="39" spans="2:17">
      <c r="B39" s="25" t="s">
        <v>23</v>
      </c>
      <c r="C39" s="85"/>
      <c r="D39" s="86"/>
      <c r="E39" s="87"/>
      <c r="F39" s="87"/>
      <c r="G39" s="87"/>
      <c r="H39" s="87"/>
      <c r="I39" s="87"/>
      <c r="J39" s="30">
        <f>P16</f>
        <v>150</v>
      </c>
      <c r="K39" s="32"/>
      <c r="L39" s="23"/>
    </row>
    <row r="40" spans="2:17">
      <c r="B40" s="25" t="s">
        <v>24</v>
      </c>
      <c r="C40" s="85"/>
      <c r="D40" s="86"/>
      <c r="E40" s="87"/>
      <c r="F40" s="87"/>
      <c r="G40" s="87"/>
      <c r="H40" s="87"/>
      <c r="I40" s="87"/>
      <c r="J40" s="30">
        <f>((J36+J38+J39)*0.05)</f>
        <v>51.581415000000007</v>
      </c>
      <c r="K40" s="32"/>
      <c r="L40" s="23"/>
    </row>
    <row r="41" spans="2:17">
      <c r="B41" s="95" t="s">
        <v>25</v>
      </c>
      <c r="C41" s="83"/>
      <c r="D41" s="96"/>
      <c r="E41" s="97"/>
      <c r="F41" s="97"/>
      <c r="G41" s="97"/>
      <c r="H41" s="97"/>
      <c r="I41" s="97"/>
      <c r="J41" s="98">
        <f>((J36+J38+J39)*0.03)</f>
        <v>30.948849000000003</v>
      </c>
      <c r="K41" s="73"/>
      <c r="L41" s="23"/>
    </row>
    <row r="42" spans="2:17" ht="13.8" thickBot="1">
      <c r="B42" s="99" t="s">
        <v>9</v>
      </c>
      <c r="C42" s="93"/>
      <c r="D42" s="100"/>
      <c r="E42" s="101"/>
      <c r="F42" s="101"/>
      <c r="G42" s="101"/>
      <c r="H42" s="101"/>
      <c r="I42" s="101"/>
      <c r="J42" s="102">
        <f>SUM(J38:J41)</f>
        <v>274.512564</v>
      </c>
      <c r="K42" s="103"/>
      <c r="L42" s="23"/>
    </row>
    <row r="43" spans="2:17" ht="13.8" thickBot="1">
      <c r="B43" s="1" t="s">
        <v>26</v>
      </c>
      <c r="C43" s="94"/>
      <c r="D43" s="66"/>
      <c r="E43" s="44">
        <v>1.32</v>
      </c>
      <c r="F43" s="44">
        <v>0.81</v>
      </c>
      <c r="G43" s="65"/>
      <c r="H43" s="65"/>
      <c r="I43" s="65"/>
      <c r="J43" s="47">
        <f>(J36+J42)</f>
        <v>1114.1585640000001</v>
      </c>
      <c r="K43" s="48"/>
      <c r="L43" s="23"/>
    </row>
    <row r="44" spans="2:17" ht="13.8" thickBot="1">
      <c r="B44" s="23"/>
      <c r="C44" s="23"/>
      <c r="D44" s="23"/>
      <c r="E44" s="104"/>
      <c r="F44" s="104"/>
      <c r="G44" s="23"/>
      <c r="H44" s="23"/>
      <c r="I44" s="23"/>
      <c r="J44" s="23"/>
      <c r="K44" s="23"/>
      <c r="L44" s="23"/>
    </row>
    <row r="45" spans="2:17">
      <c r="B45" s="105" t="s">
        <v>27</v>
      </c>
      <c r="C45" s="106" t="s">
        <v>61</v>
      </c>
      <c r="D45" s="50"/>
      <c r="E45" s="107">
        <v>4000</v>
      </c>
      <c r="F45" s="50"/>
      <c r="G45" s="108"/>
      <c r="H45" s="108"/>
      <c r="I45" s="108"/>
      <c r="J45" s="108"/>
      <c r="K45" s="22"/>
      <c r="L45" s="23"/>
    </row>
    <row r="46" spans="2:17">
      <c r="B46" s="25" t="s">
        <v>28</v>
      </c>
      <c r="C46" s="109" t="s">
        <v>62</v>
      </c>
      <c r="D46" s="109"/>
      <c r="E46" s="110">
        <v>0</v>
      </c>
      <c r="F46" s="111"/>
      <c r="G46" s="23"/>
      <c r="H46" s="23"/>
      <c r="I46" s="23"/>
      <c r="J46" s="23"/>
      <c r="K46" s="73"/>
      <c r="L46" s="23"/>
    </row>
    <row r="47" spans="2:17">
      <c r="B47" s="25" t="s">
        <v>29</v>
      </c>
      <c r="C47" s="109" t="s">
        <v>62</v>
      </c>
      <c r="D47" s="109"/>
      <c r="E47" s="110">
        <f>(J43-E46)</f>
        <v>1114.1585640000001</v>
      </c>
      <c r="F47" s="111"/>
      <c r="G47" s="112"/>
      <c r="H47" s="112"/>
      <c r="I47" s="112"/>
      <c r="J47" s="112"/>
      <c r="K47" s="32"/>
      <c r="L47" s="23"/>
    </row>
    <row r="48" spans="2:17">
      <c r="B48" s="25" t="s">
        <v>29</v>
      </c>
      <c r="C48" s="109" t="s">
        <v>30</v>
      </c>
      <c r="D48" s="109"/>
      <c r="E48" s="142">
        <f>(E47/E45)</f>
        <v>0.278539641</v>
      </c>
      <c r="F48" s="111"/>
      <c r="G48" s="23"/>
      <c r="H48" s="23"/>
      <c r="I48" s="23"/>
      <c r="J48" s="23"/>
      <c r="K48" s="73"/>
      <c r="L48" s="23"/>
    </row>
    <row r="49" spans="2:12" ht="13.8" thickBot="1">
      <c r="B49" s="99" t="s">
        <v>71</v>
      </c>
      <c r="C49" s="113" t="s">
        <v>30</v>
      </c>
      <c r="D49" s="113"/>
      <c r="E49" s="114">
        <f>E48*1.3</f>
        <v>0.3621015333</v>
      </c>
      <c r="F49" s="115"/>
      <c r="G49" s="89"/>
      <c r="H49" s="89"/>
      <c r="I49" s="89"/>
      <c r="J49" s="89"/>
      <c r="K49" s="116"/>
      <c r="L49" s="23"/>
    </row>
    <row r="50" spans="2:12">
      <c r="B50" s="23"/>
      <c r="C50" s="14"/>
      <c r="D50" s="14"/>
      <c r="E50" s="117"/>
      <c r="F50" s="117"/>
      <c r="G50" s="23"/>
      <c r="H50" s="23"/>
      <c r="I50" s="23"/>
      <c r="J50" s="23"/>
      <c r="K50" s="23"/>
      <c r="L50" s="23"/>
    </row>
    <row r="51" spans="2:12">
      <c r="C51" s="14"/>
      <c r="D51" s="14"/>
      <c r="E51" s="117"/>
      <c r="F51" s="117"/>
      <c r="G51" s="23"/>
      <c r="H51" s="23"/>
      <c r="I51" s="23"/>
      <c r="J51" s="23"/>
      <c r="K51" s="23"/>
      <c r="L51" s="23"/>
    </row>
    <row r="52" spans="2:12">
      <c r="B52" s="15" t="s">
        <v>72</v>
      </c>
      <c r="L52" s="23"/>
    </row>
    <row r="53" spans="2:12">
      <c r="B53" s="15" t="s">
        <v>158</v>
      </c>
    </row>
    <row r="74" spans="9:10">
      <c r="I74" s="182"/>
      <c r="J74" s="182"/>
    </row>
    <row r="75" spans="9:10">
      <c r="I75" s="173"/>
      <c r="J75" s="173"/>
    </row>
    <row r="76" spans="9:10">
      <c r="I76" s="173"/>
      <c r="J76" s="173"/>
    </row>
    <row r="77" spans="9:10">
      <c r="I77" s="173"/>
      <c r="J77" s="173"/>
    </row>
    <row r="78" spans="9:10">
      <c r="I78" s="173"/>
      <c r="J78" s="173"/>
    </row>
    <row r="79" spans="9:10">
      <c r="I79" s="173"/>
      <c r="J79" s="173"/>
    </row>
    <row r="80" spans="9:10">
      <c r="I80" s="173"/>
      <c r="J80" s="173"/>
    </row>
  </sheetData>
  <mergeCells count="10">
    <mergeCell ref="C3:D5"/>
    <mergeCell ref="E3:F3"/>
    <mergeCell ref="E4:F4"/>
    <mergeCell ref="I77:J77"/>
    <mergeCell ref="I80:J80"/>
    <mergeCell ref="I78:J78"/>
    <mergeCell ref="I79:J79"/>
    <mergeCell ref="I74:J74"/>
    <mergeCell ref="I75:J75"/>
    <mergeCell ref="I76:J76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Arpa K</vt:lpstr>
      <vt:lpstr>Arpa S</vt:lpstr>
      <vt:lpstr>Buğday K</vt:lpstr>
      <vt:lpstr>Buğday S</vt:lpstr>
      <vt:lpstr>Pancar</vt:lpstr>
      <vt:lpstr>Ayçiçeği S</vt:lpstr>
      <vt:lpstr>Nohut K</vt:lpstr>
      <vt:lpstr>Domates</vt:lpstr>
      <vt:lpstr>K.Soğan S</vt:lpstr>
      <vt:lpstr>Haşhaş S</vt:lpstr>
      <vt:lpstr>Haşhaş K</vt:lpstr>
      <vt:lpstr>Maliyet</vt:lpstr>
      <vt:lpstr>Sayfa1</vt:lpstr>
      <vt:lpstr>Sayfa2</vt:lpstr>
      <vt:lpstr>Sayfa3</vt:lpstr>
      <vt:lpstr>'Arpa K'!Print_Area</vt:lpstr>
      <vt:lpstr>'Arpa S'!Print_Area</vt:lpstr>
      <vt:lpstr>'Ayçiçeği S'!Print_Area</vt:lpstr>
      <vt:lpstr>'Buğday K'!Print_Area</vt:lpstr>
      <vt:lpstr>'Buğday S'!Print_Area</vt:lpstr>
      <vt:lpstr>Domates!Print_Area</vt:lpstr>
      <vt:lpstr>'Haşhaş K'!Print_Area</vt:lpstr>
      <vt:lpstr>'Haşhaş S'!Print_Area</vt:lpstr>
      <vt:lpstr>'K.Soğan S'!Print_Area</vt:lpstr>
      <vt:lpstr>Maliyet!Print_Area</vt:lpstr>
      <vt:lpstr>'Nohut K'!Print_Area</vt:lpstr>
      <vt:lpstr>Pancar!Print_Area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Erhan Türkseven</dc:creator>
  <cp:lastModifiedBy>neren</cp:lastModifiedBy>
  <cp:lastPrinted>2013-04-30T11:18:16Z</cp:lastPrinted>
  <dcterms:created xsi:type="dcterms:W3CDTF">2000-07-27T09:55:52Z</dcterms:created>
  <dcterms:modified xsi:type="dcterms:W3CDTF">2013-05-13T15:00:59Z</dcterms:modified>
</cp:coreProperties>
</file>